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ЭтаКнига" defaultThemeVersion="124226"/>
  <xr:revisionPtr revIDLastSave="0" documentId="13_ncr:1_{8D5AC959-324F-4CAB-A1A3-43037A89CF32}" xr6:coauthVersionLast="47" xr6:coauthVersionMax="47" xr10:uidLastSave="{00000000-0000-0000-0000-000000000000}"/>
  <bookViews>
    <workbookView xWindow="-120" yWindow="-120" windowWidth="29040" windowHeight="15720" tabRatio="829" activeTab="1" xr2:uid="{00000000-000D-0000-FFFF-FFFF00000000}"/>
  </bookViews>
  <sheets>
    <sheet name="Правила и справки" sheetId="6" r:id="rId1"/>
    <sheet name="Статистическая ЗП" sheetId="15" r:id="rId2"/>
    <sheet name="Калькуляция" sheetId="16" r:id="rId3"/>
    <sheet name="Расчет ФОТ" sheetId="17" r:id="rId4"/>
    <sheet name="Приложение к договору" sheetId="18" r:id="rId5"/>
  </sheets>
  <definedNames>
    <definedName name="_xlnm.Print_Area" localSheetId="2">Калькуляция!$B$9:$I$71</definedName>
    <definedName name="сумм_аммортиз" localSheetId="2">Калькуляция!$D$74:$D$86</definedName>
    <definedName name="сумм_аммортиз">#REF!</definedName>
  </definedNames>
  <calcPr calcId="191029"/>
</workbook>
</file>

<file path=xl/calcChain.xml><?xml version="1.0" encoding="utf-8"?>
<calcChain xmlns="http://schemas.openxmlformats.org/spreadsheetml/2006/main">
  <c r="AD10" i="17" l="1"/>
  <c r="AD11" i="17"/>
  <c r="AD12" i="17"/>
  <c r="AD13" i="17"/>
  <c r="AD14" i="17"/>
  <c r="AD15" i="17"/>
  <c r="AD16" i="17"/>
  <c r="AD17" i="17"/>
  <c r="AD18" i="17"/>
  <c r="AD19" i="17"/>
  <c r="AD20" i="17"/>
  <c r="AD21" i="17"/>
  <c r="AD22" i="17"/>
  <c r="AD23" i="17"/>
  <c r="AD24" i="17"/>
  <c r="AD25" i="17"/>
  <c r="AD26" i="17"/>
  <c r="AD27" i="17"/>
  <c r="AD28" i="17"/>
  <c r="AD29" i="17"/>
  <c r="AD30" i="17"/>
  <c r="AD31" i="17"/>
  <c r="AD32" i="17"/>
  <c r="AD33" i="17"/>
  <c r="AD34" i="17"/>
  <c r="AD35" i="17"/>
  <c r="AD36" i="17"/>
  <c r="AD37" i="17"/>
  <c r="AD38" i="17"/>
  <c r="AD39" i="17"/>
  <c r="AD40" i="17"/>
  <c r="AD41" i="17"/>
  <c r="AD42" i="17"/>
  <c r="AD43" i="17"/>
  <c r="AD9" i="17"/>
  <c r="U21" i="17" l="1"/>
  <c r="U22" i="17"/>
  <c r="U23" i="17"/>
  <c r="U24" i="17"/>
  <c r="U25" i="17"/>
  <c r="U26" i="17"/>
  <c r="U27" i="17"/>
  <c r="U28" i="17"/>
  <c r="U29" i="17"/>
  <c r="U30" i="17"/>
  <c r="U31" i="17"/>
  <c r="U32" i="17"/>
  <c r="U33" i="17"/>
  <c r="U34" i="17"/>
  <c r="U35" i="17"/>
  <c r="U36" i="17"/>
  <c r="U37" i="17"/>
  <c r="U38" i="17"/>
  <c r="U39" i="17"/>
  <c r="U40" i="17"/>
  <c r="U41" i="17"/>
  <c r="U42" i="17"/>
  <c r="U43" i="17"/>
  <c r="AE3" i="15" l="1"/>
  <c r="AD3" i="15" s="1"/>
  <c r="AE4" i="15"/>
  <c r="AD4" i="15" s="1"/>
  <c r="AD2" i="15"/>
  <c r="AE2" i="15"/>
  <c r="K89" i="15" l="1"/>
  <c r="K90" i="15"/>
  <c r="K91" i="15"/>
  <c r="K92" i="15"/>
  <c r="K93" i="15"/>
  <c r="O6" i="15"/>
  <c r="O7" i="15"/>
  <c r="O8" i="15"/>
  <c r="O9" i="15"/>
  <c r="O10" i="15"/>
  <c r="O11" i="15"/>
  <c r="O12" i="15"/>
  <c r="O13" i="15"/>
  <c r="O14" i="15"/>
  <c r="O15" i="15"/>
  <c r="O16" i="15"/>
  <c r="O17" i="15"/>
  <c r="O18" i="15"/>
  <c r="O19" i="15"/>
  <c r="O20" i="15"/>
  <c r="O21" i="15"/>
  <c r="O22" i="15"/>
  <c r="O23" i="15"/>
  <c r="O24" i="15"/>
  <c r="O25" i="15"/>
  <c r="O26" i="15"/>
  <c r="O27" i="15"/>
  <c r="O28" i="15"/>
  <c r="O29" i="15"/>
  <c r="O30" i="15"/>
  <c r="O31" i="15"/>
  <c r="O32" i="15"/>
  <c r="O33" i="15"/>
  <c r="O34" i="15"/>
  <c r="O35" i="15"/>
  <c r="O36" i="15"/>
  <c r="O37" i="15"/>
  <c r="O38" i="15"/>
  <c r="O39" i="15"/>
  <c r="O40" i="15"/>
  <c r="O41" i="15"/>
  <c r="O42" i="15"/>
  <c r="O43" i="15"/>
  <c r="O44" i="15"/>
  <c r="O45" i="15"/>
  <c r="O46" i="15"/>
  <c r="O47" i="15"/>
  <c r="O48" i="15"/>
  <c r="O49" i="15"/>
  <c r="O50" i="15"/>
  <c r="O51" i="15"/>
  <c r="O52" i="15"/>
  <c r="O53" i="15"/>
  <c r="O54" i="15"/>
  <c r="O55" i="15"/>
  <c r="O56" i="15"/>
  <c r="O57" i="15"/>
  <c r="O58" i="15"/>
  <c r="O59" i="15"/>
  <c r="O60" i="15"/>
  <c r="O61" i="15"/>
  <c r="O62" i="15"/>
  <c r="O63" i="15"/>
  <c r="O64" i="15"/>
  <c r="O65" i="15"/>
  <c r="O66" i="15"/>
  <c r="O67" i="15"/>
  <c r="O68" i="15"/>
  <c r="O69" i="15"/>
  <c r="O70" i="15"/>
  <c r="O71" i="15"/>
  <c r="O72" i="15"/>
  <c r="O73" i="15"/>
  <c r="O74" i="15"/>
  <c r="O75" i="15"/>
  <c r="O76" i="15"/>
  <c r="O77" i="15"/>
  <c r="O78" i="15"/>
  <c r="O79" i="15"/>
  <c r="O80" i="15"/>
  <c r="O81" i="15"/>
  <c r="O82" i="15"/>
  <c r="O83" i="15"/>
  <c r="O84" i="15"/>
  <c r="O85" i="15"/>
  <c r="O86" i="15"/>
  <c r="O87" i="15"/>
  <c r="O88" i="15"/>
  <c r="O89" i="15"/>
  <c r="O90" i="15"/>
  <c r="W90" i="15" s="1"/>
  <c r="O91" i="15"/>
  <c r="W91" i="15" s="1"/>
  <c r="O92" i="15"/>
  <c r="W92" i="15" s="1"/>
  <c r="O93" i="15"/>
  <c r="W93" i="15" s="1"/>
  <c r="O5" i="15"/>
  <c r="M90" i="15" l="1"/>
  <c r="M91" i="15"/>
  <c r="M92" i="15"/>
  <c r="M93" i="15"/>
  <c r="F90" i="15"/>
  <c r="G90" i="15" s="1"/>
  <c r="F91" i="15"/>
  <c r="G91" i="15" s="1"/>
  <c r="F92" i="15"/>
  <c r="F93" i="15"/>
  <c r="M89" i="15"/>
  <c r="E89" i="15"/>
  <c r="E65" i="15"/>
  <c r="W65" i="15" s="1"/>
  <c r="F89" i="15" l="1"/>
  <c r="G89" i="15" s="1"/>
  <c r="W89" i="15"/>
  <c r="N89" i="15"/>
  <c r="P89" i="15"/>
  <c r="N93" i="15"/>
  <c r="P93" i="15"/>
  <c r="X93" i="15" s="1"/>
  <c r="N92" i="15"/>
  <c r="P92" i="15"/>
  <c r="X92" i="15" s="1"/>
  <c r="N91" i="15"/>
  <c r="P91" i="15"/>
  <c r="X91" i="15" s="1"/>
  <c r="N90" i="15"/>
  <c r="P90" i="15"/>
  <c r="X90" i="15" s="1"/>
  <c r="G93" i="15"/>
  <c r="G92" i="15"/>
  <c r="M38" i="15"/>
  <c r="P38" i="15" s="1"/>
  <c r="R89" i="15" l="1"/>
  <c r="R90" i="15"/>
  <c r="R92" i="15"/>
  <c r="R93" i="15"/>
  <c r="R91" i="15"/>
  <c r="X89" i="15"/>
  <c r="G33" i="16"/>
  <c r="F33" i="16" s="1"/>
  <c r="G34" i="16"/>
  <c r="F34" i="16" s="1"/>
  <c r="G35" i="16"/>
  <c r="F35" i="16" s="1"/>
  <c r="G36" i="16"/>
  <c r="F36" i="16" s="1"/>
  <c r="G24" i="16"/>
  <c r="F24" i="16" s="1"/>
  <c r="G25" i="16"/>
  <c r="F25" i="16" s="1"/>
  <c r="G26" i="16"/>
  <c r="F26" i="16" s="1"/>
  <c r="G27" i="16"/>
  <c r="F27" i="16" s="1"/>
  <c r="G28" i="16"/>
  <c r="F28" i="16" s="1"/>
  <c r="B44" i="18"/>
  <c r="C44" i="18"/>
  <c r="E44" i="18"/>
  <c r="B45" i="18"/>
  <c r="C45" i="18"/>
  <c r="E45" i="18"/>
  <c r="B46" i="18"/>
  <c r="C46" i="18"/>
  <c r="E46" i="18"/>
  <c r="B47" i="18"/>
  <c r="C47" i="18"/>
  <c r="E47" i="18"/>
  <c r="B48" i="18"/>
  <c r="C48" i="18"/>
  <c r="E48" i="18"/>
  <c r="B49" i="18"/>
  <c r="C49" i="18"/>
  <c r="E49" i="18"/>
  <c r="B50" i="18"/>
  <c r="C50" i="18"/>
  <c r="E50" i="18"/>
  <c r="B51" i="18"/>
  <c r="C51" i="18"/>
  <c r="E51" i="18"/>
  <c r="B52" i="18"/>
  <c r="C52" i="18"/>
  <c r="E52" i="18"/>
  <c r="B53" i="18"/>
  <c r="C53" i="18"/>
  <c r="E53" i="18"/>
  <c r="B54" i="18"/>
  <c r="C54" i="18"/>
  <c r="E54" i="18"/>
  <c r="B55" i="18"/>
  <c r="C55" i="18"/>
  <c r="E55" i="18"/>
  <c r="B56" i="18"/>
  <c r="C56" i="18"/>
  <c r="E56" i="18"/>
  <c r="B57" i="18"/>
  <c r="C57" i="18"/>
  <c r="E57" i="18"/>
  <c r="B58" i="18"/>
  <c r="C58" i="18"/>
  <c r="E58" i="18"/>
  <c r="I21" i="17"/>
  <c r="D44" i="18" s="1"/>
  <c r="K21" i="17"/>
  <c r="L21" i="17" s="1"/>
  <c r="G44" i="18" s="1"/>
  <c r="M21" i="17"/>
  <c r="N21" i="17" s="1"/>
  <c r="O21" i="17" s="1"/>
  <c r="I22" i="17"/>
  <c r="D45" i="18" s="1"/>
  <c r="K22" i="17"/>
  <c r="P22" i="17" s="1"/>
  <c r="M22" i="17"/>
  <c r="N22" i="17" s="1"/>
  <c r="O22" i="17" s="1"/>
  <c r="I23" i="17"/>
  <c r="D46" i="18" s="1"/>
  <c r="I24" i="17"/>
  <c r="D47" i="18" s="1"/>
  <c r="I25" i="17"/>
  <c r="D48" i="18" s="1"/>
  <c r="I26" i="17"/>
  <c r="D49" i="18" s="1"/>
  <c r="I27" i="17"/>
  <c r="D50" i="18" s="1"/>
  <c r="I28" i="17"/>
  <c r="D51" i="18" s="1"/>
  <c r="I29" i="17"/>
  <c r="D52" i="18" s="1"/>
  <c r="I30" i="17"/>
  <c r="D53" i="18" s="1"/>
  <c r="I31" i="17"/>
  <c r="D54" i="18" s="1"/>
  <c r="I32" i="17"/>
  <c r="D55" i="18" s="1"/>
  <c r="I33" i="17"/>
  <c r="D56" i="18" s="1"/>
  <c r="I34" i="17"/>
  <c r="D57" i="18" s="1"/>
  <c r="I35" i="17"/>
  <c r="D58" i="18" s="1"/>
  <c r="P21" i="17" l="1"/>
  <c r="F45" i="18"/>
  <c r="F44" i="18"/>
  <c r="Q21" i="17"/>
  <c r="S21" i="17" s="1"/>
  <c r="K23" i="17"/>
  <c r="F46" i="18" s="1"/>
  <c r="M23" i="17"/>
  <c r="N23" i="17" s="1"/>
  <c r="O23" i="17" s="1"/>
  <c r="L22" i="17"/>
  <c r="G45" i="18" s="1"/>
  <c r="Q22" i="17"/>
  <c r="E3" i="18"/>
  <c r="B3" i="18"/>
  <c r="E2" i="18"/>
  <c r="B2" i="18"/>
  <c r="V21" i="17" l="1"/>
  <c r="T21" i="17"/>
  <c r="L23" i="17"/>
  <c r="G46" i="18" s="1"/>
  <c r="P23" i="17"/>
  <c r="S22" i="17"/>
  <c r="T22" i="17" s="1"/>
  <c r="K24" i="17"/>
  <c r="F47" i="18" s="1"/>
  <c r="M24" i="17"/>
  <c r="N24" i="17" s="1"/>
  <c r="O24" i="17" s="1"/>
  <c r="V22" i="17"/>
  <c r="W21" i="17"/>
  <c r="X21" i="17"/>
  <c r="Y21" i="17" s="1"/>
  <c r="C33" i="18"/>
  <c r="E33" i="18"/>
  <c r="C34" i="18"/>
  <c r="E34" i="18"/>
  <c r="C35" i="18"/>
  <c r="E35" i="18"/>
  <c r="C36" i="18"/>
  <c r="E36" i="18"/>
  <c r="C37" i="18"/>
  <c r="E37" i="18"/>
  <c r="C38" i="18"/>
  <c r="E38" i="18"/>
  <c r="C39" i="18"/>
  <c r="E39" i="18"/>
  <c r="C40" i="18"/>
  <c r="E40" i="18"/>
  <c r="C41" i="18"/>
  <c r="E41" i="18"/>
  <c r="C42" i="18"/>
  <c r="E42" i="18"/>
  <c r="C43" i="18"/>
  <c r="E43" i="18"/>
  <c r="C59" i="18"/>
  <c r="C60" i="18"/>
  <c r="C61" i="18"/>
  <c r="C62" i="18"/>
  <c r="C63" i="18"/>
  <c r="C64" i="18"/>
  <c r="C65" i="18"/>
  <c r="C66" i="18"/>
  <c r="E32" i="18"/>
  <c r="C32" i="18"/>
  <c r="B33" i="18"/>
  <c r="B34" i="18"/>
  <c r="B35" i="18"/>
  <c r="B36" i="18"/>
  <c r="B37" i="18"/>
  <c r="B38" i="18"/>
  <c r="B39" i="18"/>
  <c r="B40" i="18"/>
  <c r="B41" i="18"/>
  <c r="B42" i="18"/>
  <c r="B43" i="18"/>
  <c r="B59" i="18"/>
  <c r="B60" i="18"/>
  <c r="B61" i="18"/>
  <c r="B62" i="18"/>
  <c r="B63" i="18"/>
  <c r="B64" i="18"/>
  <c r="B65" i="18"/>
  <c r="B66" i="18"/>
  <c r="B32" i="18"/>
  <c r="D16" i="18"/>
  <c r="D14" i="18"/>
  <c r="H45" i="18" l="1"/>
  <c r="I45" i="18"/>
  <c r="H44" i="18"/>
  <c r="I44" i="18"/>
  <c r="P24" i="17"/>
  <c r="L24" i="17"/>
  <c r="G47" i="18" s="1"/>
  <c r="K25" i="17"/>
  <c r="F48" i="18" s="1"/>
  <c r="M25" i="17"/>
  <c r="N25" i="17" s="1"/>
  <c r="O25" i="17" s="1"/>
  <c r="Q23" i="17"/>
  <c r="Q24" i="17"/>
  <c r="Z21" i="17"/>
  <c r="W22" i="17"/>
  <c r="X22" i="17"/>
  <c r="Y22" i="17" s="1"/>
  <c r="S23" i="17" l="1"/>
  <c r="T23" i="17" s="1"/>
  <c r="V23" i="17"/>
  <c r="L25" i="17"/>
  <c r="G48" i="18" s="1"/>
  <c r="P25" i="17"/>
  <c r="K26" i="17"/>
  <c r="F49" i="18" s="1"/>
  <c r="M26" i="17"/>
  <c r="N26" i="17" s="1"/>
  <c r="O26" i="17" s="1"/>
  <c r="S24" i="17"/>
  <c r="V24" i="17" s="1"/>
  <c r="Z22" i="17"/>
  <c r="M12" i="17"/>
  <c r="M13" i="17"/>
  <c r="M14" i="17"/>
  <c r="M15" i="17"/>
  <c r="M16" i="17"/>
  <c r="M17" i="17"/>
  <c r="M18" i="17"/>
  <c r="M19" i="17"/>
  <c r="M20" i="17"/>
  <c r="H47" i="18" l="1"/>
  <c r="I47" i="18"/>
  <c r="I46" i="18"/>
  <c r="H46" i="18"/>
  <c r="K27" i="17"/>
  <c r="F50" i="18" s="1"/>
  <c r="M27" i="17"/>
  <c r="N27" i="17" s="1"/>
  <c r="O27" i="17" s="1"/>
  <c r="W24" i="17"/>
  <c r="X24" i="17"/>
  <c r="Y24" i="17" s="1"/>
  <c r="P26" i="17"/>
  <c r="Q26" i="17" s="1"/>
  <c r="L26" i="17"/>
  <c r="G49" i="18" s="1"/>
  <c r="Q25" i="17"/>
  <c r="T24" i="17"/>
  <c r="W23" i="17"/>
  <c r="X23" i="17"/>
  <c r="Y23" i="17" s="1"/>
  <c r="S25" i="17" l="1"/>
  <c r="Z24" i="17"/>
  <c r="M28" i="17"/>
  <c r="N28" i="17" s="1"/>
  <c r="O28" i="17" s="1"/>
  <c r="K28" i="17"/>
  <c r="F51" i="18" s="1"/>
  <c r="L27" i="17"/>
  <c r="G50" i="18" s="1"/>
  <c r="P27" i="17"/>
  <c r="Q27" i="17" s="1"/>
  <c r="S26" i="17"/>
  <c r="T26" i="17" s="1"/>
  <c r="Z23" i="17"/>
  <c r="G32" i="16"/>
  <c r="F32" i="16" s="1"/>
  <c r="G37" i="16"/>
  <c r="F37" i="16" s="1"/>
  <c r="G38" i="16"/>
  <c r="F38" i="16" s="1"/>
  <c r="V25" i="17" l="1"/>
  <c r="T25" i="17"/>
  <c r="V26" i="17"/>
  <c r="S27" i="17"/>
  <c r="V27" i="17" s="1"/>
  <c r="K29" i="17"/>
  <c r="F52" i="18" s="1"/>
  <c r="M29" i="17"/>
  <c r="N29" i="17" s="1"/>
  <c r="O29" i="17" s="1"/>
  <c r="P28" i="17"/>
  <c r="L28" i="17"/>
  <c r="G51" i="18" s="1"/>
  <c r="Q28" i="17"/>
  <c r="G18" i="16"/>
  <c r="F18" i="16" s="1"/>
  <c r="G19" i="16"/>
  <c r="F19" i="16" s="1"/>
  <c r="S28" i="17" l="1"/>
  <c r="H50" i="18"/>
  <c r="I50" i="18"/>
  <c r="H49" i="18"/>
  <c r="I49" i="18"/>
  <c r="I48" i="18"/>
  <c r="H48" i="18"/>
  <c r="X25" i="17"/>
  <c r="Y25" i="17" s="1"/>
  <c r="W25" i="17"/>
  <c r="V28" i="17"/>
  <c r="K30" i="17"/>
  <c r="F53" i="18" s="1"/>
  <c r="M30" i="17"/>
  <c r="N30" i="17" s="1"/>
  <c r="O30" i="17" s="1"/>
  <c r="P29" i="17"/>
  <c r="L29" i="17"/>
  <c r="G52" i="18" s="1"/>
  <c r="T28" i="17"/>
  <c r="Q29" i="17"/>
  <c r="W27" i="17"/>
  <c r="X27" i="17"/>
  <c r="Y27" i="17" s="1"/>
  <c r="T27" i="17"/>
  <c r="W26" i="17"/>
  <c r="X26" i="17"/>
  <c r="Y26" i="17" s="1"/>
  <c r="W11" i="17"/>
  <c r="W12" i="17"/>
  <c r="W15" i="17"/>
  <c r="W17" i="17"/>
  <c r="W19" i="17"/>
  <c r="Z25" i="17" l="1"/>
  <c r="S29" i="17"/>
  <c r="T29" i="17" s="1"/>
  <c r="I51" i="18"/>
  <c r="H51" i="18"/>
  <c r="M31" i="17"/>
  <c r="N31" i="17" s="1"/>
  <c r="O31" i="17" s="1"/>
  <c r="K31" i="17"/>
  <c r="F54" i="18" s="1"/>
  <c r="P30" i="17"/>
  <c r="L30" i="17"/>
  <c r="G53" i="18" s="1"/>
  <c r="V29" i="17"/>
  <c r="Z26" i="17"/>
  <c r="Q30" i="17"/>
  <c r="Z27" i="17"/>
  <c r="W28" i="17"/>
  <c r="X28" i="17"/>
  <c r="Y28" i="17" s="1"/>
  <c r="I52" i="18" l="1"/>
  <c r="H52" i="18"/>
  <c r="S30" i="17"/>
  <c r="W29" i="17"/>
  <c r="X29" i="17"/>
  <c r="Y29" i="17" s="1"/>
  <c r="P31" i="17"/>
  <c r="L31" i="17"/>
  <c r="G54" i="18" s="1"/>
  <c r="Z28" i="17"/>
  <c r="M32" i="17"/>
  <c r="N32" i="17" s="1"/>
  <c r="O32" i="17" s="1"/>
  <c r="K32" i="17"/>
  <c r="F55" i="18" s="1"/>
  <c r="Q31" i="17"/>
  <c r="I10" i="17"/>
  <c r="D33" i="18" s="1"/>
  <c r="I11" i="17"/>
  <c r="D34" i="18" s="1"/>
  <c r="I12" i="17"/>
  <c r="D35" i="18" s="1"/>
  <c r="I13" i="17"/>
  <c r="D36" i="18" s="1"/>
  <c r="I14" i="17"/>
  <c r="D37" i="18" s="1"/>
  <c r="I15" i="17"/>
  <c r="D38" i="18" s="1"/>
  <c r="I16" i="17"/>
  <c r="D39" i="18" s="1"/>
  <c r="I17" i="17"/>
  <c r="D40" i="18" s="1"/>
  <c r="I18" i="17"/>
  <c r="D41" i="18" s="1"/>
  <c r="I19" i="17"/>
  <c r="D42" i="18" s="1"/>
  <c r="I20" i="17"/>
  <c r="D43" i="18" s="1"/>
  <c r="I36" i="17"/>
  <c r="D59" i="18" s="1"/>
  <c r="I37" i="17"/>
  <c r="D60" i="18" s="1"/>
  <c r="I38" i="17"/>
  <c r="D61" i="18" s="1"/>
  <c r="I39" i="17"/>
  <c r="D62" i="18" s="1"/>
  <c r="I40" i="17"/>
  <c r="D63" i="18" s="1"/>
  <c r="I41" i="17"/>
  <c r="D64" i="18" s="1"/>
  <c r="I42" i="17"/>
  <c r="D65" i="18" s="1"/>
  <c r="I43" i="17"/>
  <c r="D66" i="18" s="1"/>
  <c r="I9" i="17"/>
  <c r="D32" i="18" s="1"/>
  <c r="S31" i="17" l="1"/>
  <c r="V31" i="17" s="1"/>
  <c r="W31" i="17"/>
  <c r="X31" i="17"/>
  <c r="Y31" i="17" s="1"/>
  <c r="K33" i="17"/>
  <c r="F56" i="18" s="1"/>
  <c r="M33" i="17"/>
  <c r="N33" i="17" s="1"/>
  <c r="O33" i="17" s="1"/>
  <c r="P32" i="17"/>
  <c r="L32" i="17"/>
  <c r="G55" i="18" s="1"/>
  <c r="Q32" i="17"/>
  <c r="Z29" i="17"/>
  <c r="T31" i="17"/>
  <c r="T30" i="17"/>
  <c r="V30" i="17"/>
  <c r="X11" i="17"/>
  <c r="Y11" i="17" s="1"/>
  <c r="X12" i="17"/>
  <c r="Y12" i="17" s="1"/>
  <c r="X15" i="17"/>
  <c r="Y15" i="17" s="1"/>
  <c r="X19" i="17"/>
  <c r="Y19" i="17" s="1"/>
  <c r="N12" i="17"/>
  <c r="H53" i="18" l="1"/>
  <c r="I53" i="18"/>
  <c r="H54" i="18"/>
  <c r="I54" i="18"/>
  <c r="X30" i="17"/>
  <c r="Y30" i="17" s="1"/>
  <c r="W30" i="17"/>
  <c r="L33" i="17"/>
  <c r="G56" i="18" s="1"/>
  <c r="P33" i="17"/>
  <c r="Z31" i="17"/>
  <c r="S32" i="17"/>
  <c r="Q33" i="17"/>
  <c r="K34" i="17"/>
  <c r="F57" i="18" s="1"/>
  <c r="M34" i="17"/>
  <c r="N34" i="17" s="1"/>
  <c r="O34" i="17" s="1"/>
  <c r="Z19" i="17"/>
  <c r="Z15" i="17"/>
  <c r="Z12" i="17"/>
  <c r="Z11" i="17"/>
  <c r="I7" i="17"/>
  <c r="N13" i="17"/>
  <c r="L11" i="17"/>
  <c r="G34" i="18" s="1"/>
  <c r="L12" i="17"/>
  <c r="G35" i="18" s="1"/>
  <c r="L15" i="17"/>
  <c r="G38" i="18" s="1"/>
  <c r="L19" i="17"/>
  <c r="G42" i="18" s="1"/>
  <c r="K10" i="17"/>
  <c r="K11" i="17"/>
  <c r="K12" i="17"/>
  <c r="K13" i="17"/>
  <c r="K14" i="17"/>
  <c r="K15" i="17"/>
  <c r="K16" i="17"/>
  <c r="K17" i="17"/>
  <c r="K18" i="17"/>
  <c r="K19" i="17"/>
  <c r="K20" i="17"/>
  <c r="K9" i="17"/>
  <c r="F32" i="18" s="1"/>
  <c r="L10" i="17" l="1"/>
  <c r="G33" i="18" s="1"/>
  <c r="P10" i="17"/>
  <c r="S33" i="17"/>
  <c r="T33" i="17" s="1"/>
  <c r="P34" i="17"/>
  <c r="L34" i="17"/>
  <c r="G57" i="18" s="1"/>
  <c r="V33" i="17"/>
  <c r="T32" i="17"/>
  <c r="V32" i="17"/>
  <c r="K35" i="17"/>
  <c r="F58" i="18" s="1"/>
  <c r="M35" i="17"/>
  <c r="N35" i="17" s="1"/>
  <c r="O35" i="17" s="1"/>
  <c r="Q34" i="17"/>
  <c r="Z30" i="17"/>
  <c r="P19" i="17"/>
  <c r="F42" i="18"/>
  <c r="P18" i="17"/>
  <c r="F41" i="18"/>
  <c r="P17" i="17"/>
  <c r="F40" i="18"/>
  <c r="P15" i="17"/>
  <c r="F38" i="18"/>
  <c r="P14" i="17"/>
  <c r="F37" i="18"/>
  <c r="P13" i="17"/>
  <c r="F36" i="18"/>
  <c r="P12" i="17"/>
  <c r="F35" i="18"/>
  <c r="P11" i="17"/>
  <c r="F34" i="18"/>
  <c r="F33" i="18"/>
  <c r="P20" i="17"/>
  <c r="F43" i="18"/>
  <c r="P16" i="17"/>
  <c r="F39" i="18"/>
  <c r="L20" i="17"/>
  <c r="G43" i="18" s="1"/>
  <c r="L18" i="17"/>
  <c r="G41" i="18" s="1"/>
  <c r="L14" i="17"/>
  <c r="G37" i="18" s="1"/>
  <c r="L17" i="17"/>
  <c r="G40" i="18" s="1"/>
  <c r="L16" i="17"/>
  <c r="G39" i="18" s="1"/>
  <c r="L9" i="17"/>
  <c r="G32" i="18" s="1"/>
  <c r="L13" i="17"/>
  <c r="G36" i="18" s="1"/>
  <c r="R7" i="17"/>
  <c r="S34" i="17" l="1"/>
  <c r="V34" i="17"/>
  <c r="H57" i="18" s="1"/>
  <c r="H55" i="18"/>
  <c r="I55" i="18"/>
  <c r="H56" i="18"/>
  <c r="I56" i="18"/>
  <c r="X34" i="17"/>
  <c r="Y34" i="17" s="1"/>
  <c r="W34" i="17"/>
  <c r="E59" i="18"/>
  <c r="M36" i="17"/>
  <c r="N36" i="17" s="1"/>
  <c r="K36" i="17"/>
  <c r="X32" i="17"/>
  <c r="Y32" i="17" s="1"/>
  <c r="W32" i="17"/>
  <c r="P35" i="17"/>
  <c r="Q35" i="17" s="1"/>
  <c r="L35" i="17"/>
  <c r="G58" i="18" s="1"/>
  <c r="W33" i="17"/>
  <c r="X33" i="17"/>
  <c r="Y33" i="17" s="1"/>
  <c r="T34" i="17"/>
  <c r="Q11" i="17"/>
  <c r="Q12" i="17"/>
  <c r="Q15" i="17"/>
  <c r="Q19" i="17"/>
  <c r="I57" i="18" l="1"/>
  <c r="S35" i="17"/>
  <c r="T35" i="17" s="1"/>
  <c r="Z32" i="17"/>
  <c r="L36" i="17"/>
  <c r="G59" i="18" s="1"/>
  <c r="F59" i="18"/>
  <c r="P36" i="17"/>
  <c r="Z33" i="17"/>
  <c r="E60" i="18"/>
  <c r="M37" i="17"/>
  <c r="K37" i="17"/>
  <c r="Z34" i="17"/>
  <c r="M88" i="15"/>
  <c r="M87" i="15"/>
  <c r="M86" i="15"/>
  <c r="M85" i="15"/>
  <c r="M84" i="15"/>
  <c r="M83" i="15"/>
  <c r="M82" i="15"/>
  <c r="M81" i="15"/>
  <c r="M80" i="15"/>
  <c r="M79" i="15"/>
  <c r="M78" i="15"/>
  <c r="M77" i="15"/>
  <c r="M76" i="15"/>
  <c r="M75" i="15"/>
  <c r="M74" i="15"/>
  <c r="M73" i="15"/>
  <c r="M72" i="15"/>
  <c r="M71" i="15"/>
  <c r="M70" i="15"/>
  <c r="M69" i="15"/>
  <c r="M68" i="15"/>
  <c r="M67" i="15"/>
  <c r="M66" i="15"/>
  <c r="M65" i="15"/>
  <c r="M64" i="15"/>
  <c r="M63" i="15"/>
  <c r="M62" i="15"/>
  <c r="M61" i="15"/>
  <c r="M60" i="15"/>
  <c r="M59" i="15"/>
  <c r="M58" i="15"/>
  <c r="M57" i="15"/>
  <c r="M56" i="15"/>
  <c r="M55" i="15"/>
  <c r="M54" i="15"/>
  <c r="M53" i="15"/>
  <c r="M52" i="15"/>
  <c r="M51" i="15"/>
  <c r="M50" i="15"/>
  <c r="M49" i="15"/>
  <c r="M48" i="15"/>
  <c r="M47" i="15"/>
  <c r="M46" i="15"/>
  <c r="M45" i="15"/>
  <c r="M44" i="15"/>
  <c r="M43" i="15"/>
  <c r="M42" i="15"/>
  <c r="M41" i="15"/>
  <c r="M40" i="15"/>
  <c r="M39" i="15"/>
  <c r="N38" i="15"/>
  <c r="M37" i="15"/>
  <c r="M36" i="15"/>
  <c r="M35" i="15"/>
  <c r="M34" i="15"/>
  <c r="M33" i="15"/>
  <c r="M32" i="15"/>
  <c r="M31" i="15"/>
  <c r="M30" i="15"/>
  <c r="M29" i="15"/>
  <c r="M28" i="15"/>
  <c r="M27" i="15"/>
  <c r="M26" i="15"/>
  <c r="M25" i="15"/>
  <c r="M24" i="15"/>
  <c r="M23" i="15"/>
  <c r="M22" i="15"/>
  <c r="M21" i="15"/>
  <c r="M20" i="15"/>
  <c r="M19" i="15"/>
  <c r="M18" i="15"/>
  <c r="M17" i="15"/>
  <c r="M16" i="15"/>
  <c r="M15" i="15"/>
  <c r="M14" i="15"/>
  <c r="M13" i="15"/>
  <c r="M12" i="15"/>
  <c r="M11" i="15"/>
  <c r="M10" i="15"/>
  <c r="M9" i="15"/>
  <c r="M8" i="15"/>
  <c r="M7" i="15"/>
  <c r="M6" i="15"/>
  <c r="M5" i="15"/>
  <c r="P5" i="15" s="1"/>
  <c r="N76" i="15" l="1"/>
  <c r="P76" i="15"/>
  <c r="N29" i="15"/>
  <c r="P29" i="15"/>
  <c r="N18" i="15"/>
  <c r="P18" i="15"/>
  <c r="N28" i="15"/>
  <c r="P28" i="15"/>
  <c r="N88" i="15"/>
  <c r="P88" i="15"/>
  <c r="N65" i="15"/>
  <c r="P65" i="15"/>
  <c r="N66" i="15"/>
  <c r="P66" i="15"/>
  <c r="N56" i="15"/>
  <c r="P56" i="15"/>
  <c r="N41" i="15"/>
  <c r="P41" i="15"/>
  <c r="N54" i="15"/>
  <c r="P54" i="15"/>
  <c r="N19" i="15"/>
  <c r="P19" i="15"/>
  <c r="N67" i="15"/>
  <c r="P67" i="15"/>
  <c r="N44" i="15"/>
  <c r="P44" i="15"/>
  <c r="N21" i="15"/>
  <c r="P21" i="15"/>
  <c r="N69" i="15"/>
  <c r="P69" i="15"/>
  <c r="N71" i="15"/>
  <c r="P71" i="15"/>
  <c r="N40" i="15"/>
  <c r="P40" i="15"/>
  <c r="N52" i="15"/>
  <c r="P52" i="15"/>
  <c r="N53" i="15"/>
  <c r="P53" i="15"/>
  <c r="N6" i="15"/>
  <c r="P6" i="15"/>
  <c r="N78" i="15"/>
  <c r="P78" i="15"/>
  <c r="N43" i="15"/>
  <c r="P43" i="15"/>
  <c r="N79" i="15"/>
  <c r="P79" i="15"/>
  <c r="N32" i="15"/>
  <c r="P32" i="15"/>
  <c r="N68" i="15"/>
  <c r="P68" i="15"/>
  <c r="N9" i="15"/>
  <c r="P9" i="15"/>
  <c r="N57" i="15"/>
  <c r="P57" i="15"/>
  <c r="N10" i="15"/>
  <c r="P10" i="15"/>
  <c r="N46" i="15"/>
  <c r="P46" i="15"/>
  <c r="N70" i="15"/>
  <c r="P70" i="15"/>
  <c r="N11" i="15"/>
  <c r="P11" i="15"/>
  <c r="N35" i="15"/>
  <c r="P35" i="15"/>
  <c r="N59" i="15"/>
  <c r="P59" i="15"/>
  <c r="N12" i="15"/>
  <c r="P12" i="15"/>
  <c r="N24" i="15"/>
  <c r="P24" i="15"/>
  <c r="N36" i="15"/>
  <c r="P36" i="15"/>
  <c r="N48" i="15"/>
  <c r="P48" i="15"/>
  <c r="N60" i="15"/>
  <c r="P60" i="15"/>
  <c r="N72" i="15"/>
  <c r="P72" i="15"/>
  <c r="N84" i="15"/>
  <c r="P84" i="15"/>
  <c r="N16" i="15"/>
  <c r="P16" i="15"/>
  <c r="N64" i="15"/>
  <c r="P64" i="15"/>
  <c r="N17" i="15"/>
  <c r="P17" i="15"/>
  <c r="N77" i="15"/>
  <c r="P77" i="15"/>
  <c r="N42" i="15"/>
  <c r="P42" i="15"/>
  <c r="N7" i="15"/>
  <c r="P7" i="15"/>
  <c r="N55" i="15"/>
  <c r="P55" i="15"/>
  <c r="N20" i="15"/>
  <c r="P20" i="15"/>
  <c r="N80" i="15"/>
  <c r="P80" i="15"/>
  <c r="N33" i="15"/>
  <c r="P33" i="15"/>
  <c r="N45" i="15"/>
  <c r="P45" i="15"/>
  <c r="N81" i="15"/>
  <c r="P81" i="15"/>
  <c r="N22" i="15"/>
  <c r="P22" i="15"/>
  <c r="N58" i="15"/>
  <c r="P58" i="15"/>
  <c r="N82" i="15"/>
  <c r="P82" i="15"/>
  <c r="N47" i="15"/>
  <c r="P47" i="15"/>
  <c r="N13" i="15"/>
  <c r="P13" i="15"/>
  <c r="N25" i="15"/>
  <c r="P25" i="15"/>
  <c r="N37" i="15"/>
  <c r="P37" i="15"/>
  <c r="N49" i="15"/>
  <c r="P49" i="15"/>
  <c r="N73" i="15"/>
  <c r="P73" i="15"/>
  <c r="N85" i="15"/>
  <c r="P85" i="15"/>
  <c r="N30" i="15"/>
  <c r="P30" i="15"/>
  <c r="N31" i="15"/>
  <c r="P31" i="15"/>
  <c r="N8" i="15"/>
  <c r="P8" i="15"/>
  <c r="N34" i="15"/>
  <c r="P34" i="15"/>
  <c r="N23" i="15"/>
  <c r="P23" i="15"/>
  <c r="N83" i="15"/>
  <c r="P83" i="15"/>
  <c r="N50" i="15"/>
  <c r="P50" i="15"/>
  <c r="N62" i="15"/>
  <c r="P62" i="15"/>
  <c r="N74" i="15"/>
  <c r="P74" i="15"/>
  <c r="N86" i="15"/>
  <c r="P86" i="15"/>
  <c r="N61" i="15"/>
  <c r="P61" i="15"/>
  <c r="N14" i="15"/>
  <c r="P14" i="15"/>
  <c r="N26" i="15"/>
  <c r="P26" i="15"/>
  <c r="N15" i="15"/>
  <c r="P15" i="15"/>
  <c r="N27" i="15"/>
  <c r="P27" i="15"/>
  <c r="N39" i="15"/>
  <c r="P39" i="15"/>
  <c r="N51" i="15"/>
  <c r="P51" i="15"/>
  <c r="N63" i="15"/>
  <c r="P63" i="15"/>
  <c r="N75" i="15"/>
  <c r="P75" i="15"/>
  <c r="N87" i="15"/>
  <c r="P87" i="15"/>
  <c r="H90" i="15"/>
  <c r="S90" i="15" s="1"/>
  <c r="H92" i="15"/>
  <c r="S92" i="15" s="1"/>
  <c r="H91" i="15"/>
  <c r="S91" i="15" s="1"/>
  <c r="H93" i="15"/>
  <c r="S93" i="15" s="1"/>
  <c r="N5" i="15"/>
  <c r="H89" i="15"/>
  <c r="S89" i="15" s="1"/>
  <c r="V35" i="17"/>
  <c r="E61" i="18"/>
  <c r="M38" i="17"/>
  <c r="N38" i="17" s="1"/>
  <c r="O38" i="17" s="1"/>
  <c r="K38" i="17"/>
  <c r="L37" i="17"/>
  <c r="G60" i="18" s="1"/>
  <c r="P37" i="17"/>
  <c r="F60" i="18"/>
  <c r="M9" i="17"/>
  <c r="M10" i="17"/>
  <c r="N10" i="17" s="1"/>
  <c r="M11" i="17"/>
  <c r="N11" i="17" s="1"/>
  <c r="O12" i="17"/>
  <c r="U12" i="17" s="1"/>
  <c r="N16" i="17"/>
  <c r="N17" i="17"/>
  <c r="N18" i="17"/>
  <c r="N20" i="17"/>
  <c r="O36" i="17"/>
  <c r="G17" i="16"/>
  <c r="G20" i="16"/>
  <c r="G22" i="16"/>
  <c r="F22" i="16" s="1"/>
  <c r="G23" i="16"/>
  <c r="F23" i="16" s="1"/>
  <c r="G29" i="16"/>
  <c r="F29" i="16" s="1"/>
  <c r="G31" i="16"/>
  <c r="F31" i="16" s="1"/>
  <c r="F41" i="16"/>
  <c r="F42" i="16"/>
  <c r="G42" i="16" s="1"/>
  <c r="F43" i="16"/>
  <c r="G43" i="16" s="1"/>
  <c r="F44" i="16"/>
  <c r="G44" i="16" s="1"/>
  <c r="F45" i="16"/>
  <c r="G45" i="16" s="1"/>
  <c r="F46" i="16"/>
  <c r="G46" i="16" s="1"/>
  <c r="F47" i="16"/>
  <c r="G47" i="16" s="1"/>
  <c r="F48" i="16"/>
  <c r="C14" i="18" s="1"/>
  <c r="G50" i="16"/>
  <c r="G51" i="16"/>
  <c r="F51" i="16" s="1"/>
  <c r="G52" i="16"/>
  <c r="F52" i="16" s="1"/>
  <c r="G53" i="16"/>
  <c r="F53" i="16" s="1"/>
  <c r="G54" i="16"/>
  <c r="F54" i="16" s="1"/>
  <c r="F55" i="16"/>
  <c r="F56" i="16"/>
  <c r="F57" i="16"/>
  <c r="F58" i="16"/>
  <c r="F59" i="16"/>
  <c r="F60" i="16"/>
  <c r="F61" i="16"/>
  <c r="F62" i="16"/>
  <c r="H58" i="18" l="1"/>
  <c r="I58" i="18"/>
  <c r="W35" i="17"/>
  <c r="X35" i="17"/>
  <c r="Y35" i="17" s="1"/>
  <c r="L38" i="17"/>
  <c r="G61" i="18" s="1"/>
  <c r="P38" i="17"/>
  <c r="F61" i="18"/>
  <c r="E62" i="18"/>
  <c r="M39" i="17"/>
  <c r="N39" i="17" s="1"/>
  <c r="O39" i="17" s="1"/>
  <c r="K39" i="17"/>
  <c r="Q38" i="17"/>
  <c r="Q36" i="17"/>
  <c r="S36" i="17" s="1"/>
  <c r="T36" i="17" s="1"/>
  <c r="C16" i="18"/>
  <c r="G41" i="16"/>
  <c r="G39" i="16" s="1"/>
  <c r="D13" i="18" s="1"/>
  <c r="F39" i="16"/>
  <c r="C13" i="18" s="1"/>
  <c r="F17" i="16"/>
  <c r="G16" i="16"/>
  <c r="D10" i="18" s="1"/>
  <c r="S12" i="17"/>
  <c r="V12" i="17" s="1"/>
  <c r="N37" i="17"/>
  <c r="O37" i="17" s="1"/>
  <c r="N15" i="17"/>
  <c r="O15" i="17" s="1"/>
  <c r="U15" i="17" s="1"/>
  <c r="N19" i="17"/>
  <c r="O19" i="17" s="1"/>
  <c r="U19" i="17" s="1"/>
  <c r="N14" i="17"/>
  <c r="O14" i="17" s="1"/>
  <c r="N9" i="17"/>
  <c r="O9" i="17" s="1"/>
  <c r="G49" i="16"/>
  <c r="D15" i="18" s="1"/>
  <c r="G30" i="16"/>
  <c r="D12" i="18" s="1"/>
  <c r="O18" i="17"/>
  <c r="O16" i="17"/>
  <c r="O20" i="17"/>
  <c r="O10" i="17"/>
  <c r="U10" i="17" s="1"/>
  <c r="O13" i="17"/>
  <c r="O11" i="17"/>
  <c r="U11" i="17" s="1"/>
  <c r="O17" i="17"/>
  <c r="U17" i="17" s="1"/>
  <c r="F21" i="16"/>
  <c r="C11" i="18" s="1"/>
  <c r="G21" i="16"/>
  <c r="D11" i="18" s="1"/>
  <c r="F50" i="16"/>
  <c r="F49" i="16" s="1"/>
  <c r="C15" i="18" s="1"/>
  <c r="F30" i="16"/>
  <c r="C12" i="18" s="1"/>
  <c r="F20" i="16"/>
  <c r="K6" i="15"/>
  <c r="K7" i="15"/>
  <c r="K8" i="15"/>
  <c r="K9" i="15"/>
  <c r="K10" i="15"/>
  <c r="K11" i="15"/>
  <c r="K12" i="15"/>
  <c r="K13" i="15"/>
  <c r="K14" i="15"/>
  <c r="K15" i="15"/>
  <c r="K16" i="15"/>
  <c r="K17" i="15"/>
  <c r="K18" i="15"/>
  <c r="K19" i="15"/>
  <c r="K20" i="15"/>
  <c r="K21" i="15"/>
  <c r="K22" i="15"/>
  <c r="K23" i="15"/>
  <c r="K24" i="15"/>
  <c r="K25" i="15"/>
  <c r="K26" i="15"/>
  <c r="K27" i="15"/>
  <c r="K28" i="15"/>
  <c r="K29" i="15"/>
  <c r="K30" i="15"/>
  <c r="K31" i="15"/>
  <c r="K32" i="15"/>
  <c r="K33" i="15"/>
  <c r="K34" i="15"/>
  <c r="K35" i="15"/>
  <c r="K36" i="15"/>
  <c r="K37" i="15"/>
  <c r="K38" i="15"/>
  <c r="K39" i="15"/>
  <c r="K40" i="15"/>
  <c r="K41" i="15"/>
  <c r="K42" i="15"/>
  <c r="K43" i="15"/>
  <c r="K44" i="15"/>
  <c r="K45" i="15"/>
  <c r="K46" i="15"/>
  <c r="K47" i="15"/>
  <c r="K48" i="15"/>
  <c r="K49" i="15"/>
  <c r="K50" i="15"/>
  <c r="K51" i="15"/>
  <c r="K52" i="15"/>
  <c r="K53" i="15"/>
  <c r="K54" i="15"/>
  <c r="K55" i="15"/>
  <c r="K56" i="15"/>
  <c r="K57" i="15"/>
  <c r="K58" i="15"/>
  <c r="K59" i="15"/>
  <c r="K60" i="15"/>
  <c r="K61" i="15"/>
  <c r="K62" i="15"/>
  <c r="K63" i="15"/>
  <c r="K64" i="15"/>
  <c r="K65" i="15"/>
  <c r="K66" i="15"/>
  <c r="K67" i="15"/>
  <c r="K68" i="15"/>
  <c r="K69" i="15"/>
  <c r="K70" i="15"/>
  <c r="K71" i="15"/>
  <c r="K72" i="15"/>
  <c r="K73" i="15"/>
  <c r="K74" i="15"/>
  <c r="K75" i="15"/>
  <c r="K76" i="15"/>
  <c r="K77" i="15"/>
  <c r="K78" i="15"/>
  <c r="K79" i="15"/>
  <c r="K80" i="15"/>
  <c r="K81" i="15"/>
  <c r="K82" i="15"/>
  <c r="K83" i="15"/>
  <c r="K84" i="15"/>
  <c r="K85" i="15"/>
  <c r="K86" i="15"/>
  <c r="K87" i="15"/>
  <c r="K88" i="15"/>
  <c r="K5" i="15"/>
  <c r="U18" i="17" l="1"/>
  <c r="Q10" i="17"/>
  <c r="S10" i="17" s="1"/>
  <c r="Z35" i="17"/>
  <c r="S38" i="17"/>
  <c r="T38" i="17" s="1"/>
  <c r="E63" i="18"/>
  <c r="M40" i="17"/>
  <c r="N40" i="17" s="1"/>
  <c r="O40" i="17" s="1"/>
  <c r="K40" i="17"/>
  <c r="L39" i="17"/>
  <c r="G62" i="18" s="1"/>
  <c r="P39" i="17"/>
  <c r="F62" i="18"/>
  <c r="Q37" i="17"/>
  <c r="S37" i="17" s="1"/>
  <c r="H35" i="18"/>
  <c r="I35" i="18"/>
  <c r="V36" i="17"/>
  <c r="F16" i="16"/>
  <c r="C10" i="18" s="1"/>
  <c r="S11" i="17"/>
  <c r="V11" i="17" s="1"/>
  <c r="S19" i="17"/>
  <c r="T19" i="17" s="1"/>
  <c r="S15" i="17"/>
  <c r="V15" i="17" s="1"/>
  <c r="Q13" i="17"/>
  <c r="S13" i="17" s="1"/>
  <c r="Q20" i="17"/>
  <c r="S20" i="17" s="1"/>
  <c r="Q18" i="17"/>
  <c r="Q16" i="17"/>
  <c r="U16" i="17" s="1"/>
  <c r="Q17" i="17"/>
  <c r="S17" i="17" s="1"/>
  <c r="V17" i="17" s="1"/>
  <c r="Q14" i="17"/>
  <c r="U14" i="17" s="1"/>
  <c r="Q9" i="17"/>
  <c r="U9" i="17" s="1"/>
  <c r="T12" i="17"/>
  <c r="U13" i="17" l="1"/>
  <c r="V13" i="17" s="1"/>
  <c r="U20" i="17"/>
  <c r="V10" i="17"/>
  <c r="V38" i="17"/>
  <c r="H61" i="18" s="1"/>
  <c r="Q39" i="17"/>
  <c r="L40" i="17"/>
  <c r="G63" i="18" s="1"/>
  <c r="P40" i="17"/>
  <c r="F63" i="18"/>
  <c r="Q40" i="17"/>
  <c r="E64" i="18"/>
  <c r="M41" i="17"/>
  <c r="N41" i="17" s="1"/>
  <c r="K41" i="17"/>
  <c r="T37" i="17"/>
  <c r="V37" i="17"/>
  <c r="I60" i="18" s="1"/>
  <c r="W38" i="17"/>
  <c r="X38" i="17"/>
  <c r="Y38" i="17" s="1"/>
  <c r="W36" i="17"/>
  <c r="X36" i="17"/>
  <c r="Y36" i="17" s="1"/>
  <c r="I59" i="18"/>
  <c r="H59" i="18"/>
  <c r="I38" i="18"/>
  <c r="H38" i="18"/>
  <c r="H40" i="18"/>
  <c r="I40" i="18"/>
  <c r="H34" i="18"/>
  <c r="I34" i="18"/>
  <c r="V19" i="17"/>
  <c r="T15" i="17"/>
  <c r="T11" i="17"/>
  <c r="S16" i="17"/>
  <c r="V16" i="17" s="1"/>
  <c r="S14" i="17"/>
  <c r="T14" i="17" s="1"/>
  <c r="S18" i="17"/>
  <c r="T18" i="17" s="1"/>
  <c r="S9" i="17"/>
  <c r="T9" i="17" s="1"/>
  <c r="T17" i="17"/>
  <c r="T20" i="17"/>
  <c r="T13" i="17"/>
  <c r="T10" i="17"/>
  <c r="W10" i="17" l="1"/>
  <c r="H33" i="18"/>
  <c r="X10" i="17"/>
  <c r="I33" i="18"/>
  <c r="Y10" i="17"/>
  <c r="Z10" i="17" s="1"/>
  <c r="I61" i="18"/>
  <c r="H60" i="18"/>
  <c r="O41" i="17"/>
  <c r="S40" i="17"/>
  <c r="T40" i="17" s="1"/>
  <c r="E65" i="18"/>
  <c r="K42" i="17"/>
  <c r="M42" i="17"/>
  <c r="N42" i="17" s="1"/>
  <c r="O42" i="17" s="1"/>
  <c r="L41" i="17"/>
  <c r="G64" i="18" s="1"/>
  <c r="F64" i="18"/>
  <c r="P41" i="17"/>
  <c r="S39" i="17"/>
  <c r="T39" i="17" s="1"/>
  <c r="Z36" i="17"/>
  <c r="W37" i="17"/>
  <c r="X37" i="17"/>
  <c r="Y37" i="17" s="1"/>
  <c r="Z38" i="17"/>
  <c r="V20" i="17"/>
  <c r="X20" i="17" s="1"/>
  <c r="W13" i="17"/>
  <c r="H36" i="18"/>
  <c r="I36" i="18"/>
  <c r="T16" i="17"/>
  <c r="I42" i="18"/>
  <c r="H42" i="18"/>
  <c r="W16" i="17"/>
  <c r="I39" i="18"/>
  <c r="H39" i="18"/>
  <c r="V14" i="17"/>
  <c r="X14" i="17" s="1"/>
  <c r="V18" i="17"/>
  <c r="V9" i="17"/>
  <c r="X17" i="17"/>
  <c r="Y17" i="17" s="1"/>
  <c r="X13" i="17"/>
  <c r="E16" i="15"/>
  <c r="E35" i="15"/>
  <c r="E36" i="15"/>
  <c r="E39" i="15"/>
  <c r="E40" i="15"/>
  <c r="E43" i="15"/>
  <c r="E47" i="15"/>
  <c r="E49" i="15"/>
  <c r="E51" i="15"/>
  <c r="E53" i="15"/>
  <c r="E60" i="15"/>
  <c r="F65" i="15"/>
  <c r="X65" i="15" s="1"/>
  <c r="E70" i="15"/>
  <c r="E71" i="15"/>
  <c r="E72" i="15"/>
  <c r="E74" i="15"/>
  <c r="E80" i="15"/>
  <c r="E81" i="15"/>
  <c r="E8" i="15"/>
  <c r="E21" i="15"/>
  <c r="E23" i="15"/>
  <c r="E25" i="15"/>
  <c r="E27" i="15"/>
  <c r="E41" i="15"/>
  <c r="E45" i="15"/>
  <c r="E57" i="15"/>
  <c r="E58" i="15"/>
  <c r="E73" i="15"/>
  <c r="E7" i="15"/>
  <c r="E79" i="15"/>
  <c r="E18" i="15"/>
  <c r="E44" i="15"/>
  <c r="E28" i="15"/>
  <c r="E30" i="15"/>
  <c r="E31" i="15"/>
  <c r="E52" i="15"/>
  <c r="E68" i="15"/>
  <c r="E83" i="15"/>
  <c r="E87" i="15"/>
  <c r="E14" i="15"/>
  <c r="E15" i="15"/>
  <c r="E32" i="15"/>
  <c r="E85" i="15"/>
  <c r="E38" i="15"/>
  <c r="E42" i="15"/>
  <c r="E50" i="15"/>
  <c r="E54" i="15"/>
  <c r="E56" i="15"/>
  <c r="E63" i="15"/>
  <c r="E82" i="15"/>
  <c r="E5" i="15"/>
  <c r="E12" i="15"/>
  <c r="E84" i="15"/>
  <c r="E26" i="15"/>
  <c r="E33" i="15"/>
  <c r="E37" i="15"/>
  <c r="E64" i="15"/>
  <c r="E9" i="15"/>
  <c r="E10" i="15"/>
  <c r="E11" i="15"/>
  <c r="E13" i="15"/>
  <c r="E19" i="15"/>
  <c r="E29" i="15"/>
  <c r="E6" i="15"/>
  <c r="E17" i="15"/>
  <c r="E20" i="15"/>
  <c r="E22" i="15"/>
  <c r="E24" i="15"/>
  <c r="E62" i="15"/>
  <c r="E46" i="15"/>
  <c r="E55" i="15"/>
  <c r="E59" i="15"/>
  <c r="E61" i="15"/>
  <c r="E66" i="15"/>
  <c r="E67" i="15"/>
  <c r="E77" i="15"/>
  <c r="E48" i="15"/>
  <c r="E69" i="15"/>
  <c r="E75" i="15"/>
  <c r="E86" i="15"/>
  <c r="E88" i="15"/>
  <c r="E76" i="15"/>
  <c r="E78" i="15"/>
  <c r="E34" i="15"/>
  <c r="F88" i="15" l="1"/>
  <c r="X88" i="15" s="1"/>
  <c r="W88" i="15"/>
  <c r="F61" i="15"/>
  <c r="X61" i="15" s="1"/>
  <c r="W61" i="15"/>
  <c r="F17" i="15"/>
  <c r="X17" i="15" s="1"/>
  <c r="W17" i="15"/>
  <c r="F64" i="15"/>
  <c r="X64" i="15" s="1"/>
  <c r="W64" i="15"/>
  <c r="F63" i="15"/>
  <c r="X63" i="15" s="1"/>
  <c r="W63" i="15"/>
  <c r="F15" i="15"/>
  <c r="X15" i="15" s="1"/>
  <c r="W15" i="15"/>
  <c r="F28" i="15"/>
  <c r="X28" i="15" s="1"/>
  <c r="W28" i="15"/>
  <c r="F45" i="15"/>
  <c r="X45" i="15" s="1"/>
  <c r="W45" i="15"/>
  <c r="F80" i="15"/>
  <c r="X80" i="15" s="1"/>
  <c r="W80" i="15"/>
  <c r="F51" i="15"/>
  <c r="X51" i="15" s="1"/>
  <c r="W51" i="15"/>
  <c r="F16" i="15"/>
  <c r="X16" i="15" s="1"/>
  <c r="W16" i="15"/>
  <c r="F86" i="15"/>
  <c r="X86" i="15" s="1"/>
  <c r="W86" i="15"/>
  <c r="F59" i="15"/>
  <c r="X59" i="15" s="1"/>
  <c r="W59" i="15"/>
  <c r="F6" i="15"/>
  <c r="X6" i="15" s="1"/>
  <c r="W6" i="15"/>
  <c r="F37" i="15"/>
  <c r="X37" i="15" s="1"/>
  <c r="W37" i="15"/>
  <c r="F56" i="15"/>
  <c r="X56" i="15" s="1"/>
  <c r="W56" i="15"/>
  <c r="F14" i="15"/>
  <c r="X14" i="15" s="1"/>
  <c r="W14" i="15"/>
  <c r="F44" i="15"/>
  <c r="X44" i="15" s="1"/>
  <c r="W44" i="15"/>
  <c r="F41" i="15"/>
  <c r="X41" i="15" s="1"/>
  <c r="W41" i="15"/>
  <c r="F74" i="15"/>
  <c r="X74" i="15" s="1"/>
  <c r="W74" i="15"/>
  <c r="F49" i="15"/>
  <c r="X49" i="15" s="1"/>
  <c r="W49" i="15"/>
  <c r="F75" i="15"/>
  <c r="X75" i="15" s="1"/>
  <c r="W75" i="15"/>
  <c r="F29" i="15"/>
  <c r="X29" i="15" s="1"/>
  <c r="W29" i="15"/>
  <c r="F87" i="15"/>
  <c r="X87" i="15" s="1"/>
  <c r="W87" i="15"/>
  <c r="F46" i="15"/>
  <c r="X46" i="15" s="1"/>
  <c r="W46" i="15"/>
  <c r="F26" i="15"/>
  <c r="X26" i="15" s="1"/>
  <c r="W26" i="15"/>
  <c r="F83" i="15"/>
  <c r="X83" i="15" s="1"/>
  <c r="W83" i="15"/>
  <c r="F25" i="15"/>
  <c r="X25" i="15" s="1"/>
  <c r="W25" i="15"/>
  <c r="F43" i="15"/>
  <c r="X43" i="15" s="1"/>
  <c r="W43" i="15"/>
  <c r="F55" i="15"/>
  <c r="X55" i="15" s="1"/>
  <c r="W55" i="15"/>
  <c r="F33" i="15"/>
  <c r="X33" i="15" s="1"/>
  <c r="W33" i="15"/>
  <c r="F54" i="15"/>
  <c r="X54" i="15" s="1"/>
  <c r="W54" i="15"/>
  <c r="F18" i="15"/>
  <c r="X18" i="15" s="1"/>
  <c r="W18" i="15"/>
  <c r="F27" i="15"/>
  <c r="X27" i="15" s="1"/>
  <c r="W27" i="15"/>
  <c r="F72" i="15"/>
  <c r="X72" i="15" s="1"/>
  <c r="W72" i="15"/>
  <c r="F47" i="15"/>
  <c r="X47" i="15" s="1"/>
  <c r="W47" i="15"/>
  <c r="F69" i="15"/>
  <c r="X69" i="15" s="1"/>
  <c r="W69" i="15"/>
  <c r="F19" i="15"/>
  <c r="X19" i="15" s="1"/>
  <c r="W19" i="15"/>
  <c r="F50" i="15"/>
  <c r="X50" i="15" s="1"/>
  <c r="W50" i="15"/>
  <c r="F79" i="15"/>
  <c r="X79" i="15" s="1"/>
  <c r="W79" i="15"/>
  <c r="F71" i="15"/>
  <c r="X71" i="15" s="1"/>
  <c r="W71" i="15"/>
  <c r="F48" i="15"/>
  <c r="X48" i="15" s="1"/>
  <c r="W48" i="15"/>
  <c r="F62" i="15"/>
  <c r="X62" i="15" s="1"/>
  <c r="W62" i="15"/>
  <c r="F13" i="15"/>
  <c r="X13" i="15" s="1"/>
  <c r="W13" i="15"/>
  <c r="F84" i="15"/>
  <c r="X84" i="15" s="1"/>
  <c r="W84" i="15"/>
  <c r="F42" i="15"/>
  <c r="X42" i="15" s="1"/>
  <c r="W42" i="15"/>
  <c r="F68" i="15"/>
  <c r="X68" i="15" s="1"/>
  <c r="W68" i="15"/>
  <c r="F7" i="15"/>
  <c r="X7" i="15" s="1"/>
  <c r="W7" i="15"/>
  <c r="F23" i="15"/>
  <c r="X23" i="15" s="1"/>
  <c r="W23" i="15"/>
  <c r="F70" i="15"/>
  <c r="X70" i="15" s="1"/>
  <c r="W70" i="15"/>
  <c r="F40" i="15"/>
  <c r="X40" i="15" s="1"/>
  <c r="W40" i="15"/>
  <c r="F76" i="15"/>
  <c r="X76" i="15" s="1"/>
  <c r="W76" i="15"/>
  <c r="F66" i="15"/>
  <c r="X66" i="15" s="1"/>
  <c r="W66" i="15"/>
  <c r="F20" i="15"/>
  <c r="X20" i="15" s="1"/>
  <c r="W20" i="15"/>
  <c r="F9" i="15"/>
  <c r="X9" i="15" s="1"/>
  <c r="W9" i="15"/>
  <c r="F82" i="15"/>
  <c r="X82" i="15" s="1"/>
  <c r="W82" i="15"/>
  <c r="F32" i="15"/>
  <c r="X32" i="15" s="1"/>
  <c r="W32" i="15"/>
  <c r="F30" i="15"/>
  <c r="X30" i="15" s="1"/>
  <c r="W30" i="15"/>
  <c r="F57" i="15"/>
  <c r="X57" i="15" s="1"/>
  <c r="W57" i="15"/>
  <c r="F81" i="15"/>
  <c r="X81" i="15" s="1"/>
  <c r="W81" i="15"/>
  <c r="F53" i="15"/>
  <c r="G53" i="15" s="1"/>
  <c r="R53" i="15" s="1"/>
  <c r="W53" i="15"/>
  <c r="F35" i="15"/>
  <c r="X35" i="15" s="1"/>
  <c r="W35" i="15"/>
  <c r="F34" i="15"/>
  <c r="X34" i="15" s="1"/>
  <c r="W34" i="15"/>
  <c r="F77" i="15"/>
  <c r="X77" i="15" s="1"/>
  <c r="W77" i="15"/>
  <c r="F24" i="15"/>
  <c r="X24" i="15" s="1"/>
  <c r="W24" i="15"/>
  <c r="F11" i="15"/>
  <c r="X11" i="15" s="1"/>
  <c r="W11" i="15"/>
  <c r="F12" i="15"/>
  <c r="X12" i="15" s="1"/>
  <c r="W12" i="15"/>
  <c r="F38" i="15"/>
  <c r="X38" i="15" s="1"/>
  <c r="W38" i="15"/>
  <c r="F52" i="15"/>
  <c r="X52" i="15" s="1"/>
  <c r="W52" i="15"/>
  <c r="F73" i="15"/>
  <c r="X73" i="15" s="1"/>
  <c r="W73" i="15"/>
  <c r="F21" i="15"/>
  <c r="X21" i="15" s="1"/>
  <c r="W21" i="15"/>
  <c r="F39" i="15"/>
  <c r="X39" i="15" s="1"/>
  <c r="W39" i="15"/>
  <c r="F78" i="15"/>
  <c r="X78" i="15" s="1"/>
  <c r="W78" i="15"/>
  <c r="F67" i="15"/>
  <c r="X67" i="15" s="1"/>
  <c r="W67" i="15"/>
  <c r="F22" i="15"/>
  <c r="X22" i="15" s="1"/>
  <c r="W22" i="15"/>
  <c r="F10" i="15"/>
  <c r="X10" i="15" s="1"/>
  <c r="W10" i="15"/>
  <c r="F5" i="15"/>
  <c r="X5" i="15" s="1"/>
  <c r="W5" i="15"/>
  <c r="F85" i="15"/>
  <c r="X85" i="15" s="1"/>
  <c r="W85" i="15"/>
  <c r="F31" i="15"/>
  <c r="X31" i="15" s="1"/>
  <c r="W31" i="15"/>
  <c r="F58" i="15"/>
  <c r="X58" i="15" s="1"/>
  <c r="W58" i="15"/>
  <c r="F8" i="15"/>
  <c r="X8" i="15" s="1"/>
  <c r="W8" i="15"/>
  <c r="F60" i="15"/>
  <c r="X60" i="15" s="1"/>
  <c r="W60" i="15"/>
  <c r="F36" i="15"/>
  <c r="X36" i="15" s="1"/>
  <c r="W36" i="15"/>
  <c r="H65" i="15"/>
  <c r="S65" i="15" s="1"/>
  <c r="H69" i="15"/>
  <c r="S69" i="15" s="1"/>
  <c r="L42" i="17"/>
  <c r="G65" i="18" s="1"/>
  <c r="P42" i="17"/>
  <c r="F65" i="18"/>
  <c r="E66" i="18"/>
  <c r="K43" i="17"/>
  <c r="M43" i="17"/>
  <c r="N43" i="17" s="1"/>
  <c r="O43" i="17" s="1"/>
  <c r="Q42" i="17"/>
  <c r="V40" i="17"/>
  <c r="V39" i="17"/>
  <c r="Q41" i="17"/>
  <c r="Z37" i="17"/>
  <c r="W9" i="17"/>
  <c r="I32" i="18"/>
  <c r="H32" i="18"/>
  <c r="W18" i="17"/>
  <c r="H41" i="18"/>
  <c r="I41" i="18"/>
  <c r="W14" i="17"/>
  <c r="H37" i="18"/>
  <c r="I37" i="18"/>
  <c r="W20" i="17"/>
  <c r="I43" i="18"/>
  <c r="H43" i="18"/>
  <c r="X9" i="17"/>
  <c r="X18" i="17"/>
  <c r="G65" i="15"/>
  <c r="R65" i="15" s="1"/>
  <c r="Z17" i="17"/>
  <c r="X16" i="17"/>
  <c r="H59" i="15" l="1"/>
  <c r="S59" i="15" s="1"/>
  <c r="G69" i="15"/>
  <c r="R69" i="15" s="1"/>
  <c r="G80" i="15"/>
  <c r="R80" i="15" s="1"/>
  <c r="G78" i="15"/>
  <c r="R78" i="15" s="1"/>
  <c r="G52" i="15"/>
  <c r="R52" i="15" s="1"/>
  <c r="G32" i="15"/>
  <c r="R32" i="15" s="1"/>
  <c r="G66" i="15"/>
  <c r="R66" i="15" s="1"/>
  <c r="H19" i="15"/>
  <c r="S19" i="15" s="1"/>
  <c r="H14" i="15"/>
  <c r="S14" i="15" s="1"/>
  <c r="H57" i="15"/>
  <c r="S57" i="15" s="1"/>
  <c r="H40" i="15"/>
  <c r="S40" i="15" s="1"/>
  <c r="H84" i="15"/>
  <c r="S84" i="15" s="1"/>
  <c r="G15" i="15"/>
  <c r="R15" i="15" s="1"/>
  <c r="H44" i="15"/>
  <c r="S44" i="15" s="1"/>
  <c r="H24" i="15"/>
  <c r="S24" i="15" s="1"/>
  <c r="G44" i="15"/>
  <c r="R44" i="15" s="1"/>
  <c r="H55" i="15"/>
  <c r="S55" i="15" s="1"/>
  <c r="G48" i="15"/>
  <c r="R48" i="15" s="1"/>
  <c r="H52" i="15"/>
  <c r="S52" i="15" s="1"/>
  <c r="G18" i="15"/>
  <c r="R18" i="15" s="1"/>
  <c r="G43" i="15"/>
  <c r="R43" i="15" s="1"/>
  <c r="H80" i="15"/>
  <c r="S80" i="15" s="1"/>
  <c r="G51" i="15"/>
  <c r="R51" i="15" s="1"/>
  <c r="H43" i="15"/>
  <c r="S43" i="15" s="1"/>
  <c r="H71" i="15"/>
  <c r="S71" i="15" s="1"/>
  <c r="G50" i="15"/>
  <c r="R50" i="15" s="1"/>
  <c r="G88" i="15"/>
  <c r="R88" i="15" s="1"/>
  <c r="G49" i="15"/>
  <c r="R49" i="15" s="1"/>
  <c r="G5" i="15"/>
  <c r="R5" i="15" s="1"/>
  <c r="G11" i="15"/>
  <c r="R11" i="15" s="1"/>
  <c r="H88" i="15"/>
  <c r="S88" i="15" s="1"/>
  <c r="H5" i="15"/>
  <c r="S5" i="15" s="1"/>
  <c r="H82" i="15"/>
  <c r="S82" i="15" s="1"/>
  <c r="G23" i="15"/>
  <c r="R23" i="15" s="1"/>
  <c r="G71" i="15"/>
  <c r="R71" i="15" s="1"/>
  <c r="H73" i="15"/>
  <c r="S73" i="15" s="1"/>
  <c r="H66" i="15"/>
  <c r="S66" i="15" s="1"/>
  <c r="H23" i="15"/>
  <c r="S23" i="15" s="1"/>
  <c r="G14" i="15"/>
  <c r="R14" i="15" s="1"/>
  <c r="G84" i="15"/>
  <c r="R84" i="15" s="1"/>
  <c r="G24" i="15"/>
  <c r="R24" i="15" s="1"/>
  <c r="G63" i="15"/>
  <c r="R63" i="15" s="1"/>
  <c r="G26" i="15"/>
  <c r="R26" i="15" s="1"/>
  <c r="H18" i="15"/>
  <c r="S18" i="15" s="1"/>
  <c r="G27" i="15"/>
  <c r="R27" i="15" s="1"/>
  <c r="G59" i="15"/>
  <c r="R59" i="15" s="1"/>
  <c r="G30" i="15"/>
  <c r="R30" i="15" s="1"/>
  <c r="H49" i="15"/>
  <c r="S49" i="15" s="1"/>
  <c r="H15" i="15"/>
  <c r="S15" i="15" s="1"/>
  <c r="H78" i="15"/>
  <c r="S78" i="15" s="1"/>
  <c r="G46" i="15"/>
  <c r="R46" i="15" s="1"/>
  <c r="G61" i="15"/>
  <c r="R61" i="15" s="1"/>
  <c r="G8" i="15"/>
  <c r="R8" i="15" s="1"/>
  <c r="H32" i="15"/>
  <c r="S32" i="15" s="1"/>
  <c r="H51" i="15"/>
  <c r="S51" i="15" s="1"/>
  <c r="H46" i="15"/>
  <c r="S46" i="15" s="1"/>
  <c r="H63" i="15"/>
  <c r="S63" i="15" s="1"/>
  <c r="G76" i="15"/>
  <c r="R76" i="15" s="1"/>
  <c r="G16" i="15"/>
  <c r="R16" i="15" s="1"/>
  <c r="H31" i="15"/>
  <c r="S31" i="15" s="1"/>
  <c r="G47" i="15"/>
  <c r="R47" i="15" s="1"/>
  <c r="H61" i="15"/>
  <c r="S61" i="15" s="1"/>
  <c r="G72" i="15"/>
  <c r="R72" i="15" s="1"/>
  <c r="G58" i="15"/>
  <c r="R58" i="15" s="1"/>
  <c r="H13" i="15"/>
  <c r="S13" i="15" s="1"/>
  <c r="H58" i="15"/>
  <c r="S58" i="15" s="1"/>
  <c r="G67" i="15"/>
  <c r="R67" i="15" s="1"/>
  <c r="G7" i="15"/>
  <c r="R7" i="15" s="1"/>
  <c r="H85" i="15"/>
  <c r="S85" i="15" s="1"/>
  <c r="G81" i="15"/>
  <c r="R81" i="15" s="1"/>
  <c r="Y20" i="17" s="1"/>
  <c r="G42" i="15"/>
  <c r="R42" i="15" s="1"/>
  <c r="H48" i="15"/>
  <c r="S48" i="15" s="1"/>
  <c r="H20" i="15"/>
  <c r="S20" i="15" s="1"/>
  <c r="H6" i="15"/>
  <c r="S6" i="15" s="1"/>
  <c r="G39" i="15"/>
  <c r="R39" i="15" s="1"/>
  <c r="G13" i="15"/>
  <c r="R13" i="15" s="1"/>
  <c r="H39" i="15"/>
  <c r="S39" i="15" s="1"/>
  <c r="G38" i="15"/>
  <c r="R38" i="15" s="1"/>
  <c r="G77" i="15"/>
  <c r="R77" i="15" s="1"/>
  <c r="H81" i="15"/>
  <c r="S81" i="15" s="1"/>
  <c r="H54" i="15"/>
  <c r="S54" i="15" s="1"/>
  <c r="H77" i="15"/>
  <c r="S77" i="15" s="1"/>
  <c r="G82" i="15"/>
  <c r="R82" i="15" s="1"/>
  <c r="H79" i="15"/>
  <c r="S79" i="15" s="1"/>
  <c r="H56" i="15"/>
  <c r="S56" i="15" s="1"/>
  <c r="H76" i="15"/>
  <c r="S76" i="15" s="1"/>
  <c r="H10" i="15"/>
  <c r="S10" i="15" s="1"/>
  <c r="G54" i="15"/>
  <c r="R54" i="15" s="1"/>
  <c r="G64" i="15"/>
  <c r="R64" i="15" s="1"/>
  <c r="G40" i="15"/>
  <c r="R40" i="15" s="1"/>
  <c r="G10" i="15"/>
  <c r="R10" i="15" s="1"/>
  <c r="H38" i="15"/>
  <c r="S38" i="15" s="1"/>
  <c r="G6" i="15"/>
  <c r="R6" i="15" s="1"/>
  <c r="G79" i="15"/>
  <c r="R79" i="15" s="1"/>
  <c r="H26" i="15"/>
  <c r="S26" i="15" s="1"/>
  <c r="H7" i="15"/>
  <c r="S7" i="15" s="1"/>
  <c r="H22" i="15"/>
  <c r="S22" i="15" s="1"/>
  <c r="H70" i="15"/>
  <c r="S70" i="15" s="1"/>
  <c r="G75" i="15"/>
  <c r="R75" i="15" s="1"/>
  <c r="G60" i="15"/>
  <c r="R60" i="15" s="1"/>
  <c r="G70" i="15"/>
  <c r="R70" i="15" s="1"/>
  <c r="G83" i="15"/>
  <c r="R83" i="15" s="1"/>
  <c r="H17" i="15"/>
  <c r="S17" i="15" s="1"/>
  <c r="H47" i="15"/>
  <c r="S47" i="15" s="1"/>
  <c r="H75" i="15"/>
  <c r="S75" i="15" s="1"/>
  <c r="H11" i="15"/>
  <c r="S11" i="15" s="1"/>
  <c r="H36" i="15"/>
  <c r="S36" i="15" s="1"/>
  <c r="H35" i="15"/>
  <c r="S35" i="15" s="1"/>
  <c r="G86" i="15"/>
  <c r="R86" i="15" s="1"/>
  <c r="G37" i="15"/>
  <c r="R37" i="15" s="1"/>
  <c r="H21" i="15"/>
  <c r="S21" i="15" s="1"/>
  <c r="H67" i="15"/>
  <c r="S67" i="15" s="1"/>
  <c r="H42" i="15"/>
  <c r="S42" i="15" s="1"/>
  <c r="H83" i="15"/>
  <c r="S83" i="15" s="1"/>
  <c r="H60" i="15"/>
  <c r="S60" i="15" s="1"/>
  <c r="H41" i="15"/>
  <c r="S41" i="15" s="1"/>
  <c r="Y13" i="17"/>
  <c r="G56" i="15"/>
  <c r="R56" i="15" s="1"/>
  <c r="H45" i="15"/>
  <c r="S45" i="15" s="1"/>
  <c r="H9" i="15"/>
  <c r="S9" i="15" s="1"/>
  <c r="H72" i="15"/>
  <c r="S72" i="15" s="1"/>
  <c r="G22" i="15"/>
  <c r="R22" i="15" s="1"/>
  <c r="G33" i="15"/>
  <c r="R33" i="15" s="1"/>
  <c r="G28" i="15"/>
  <c r="R28" i="15" s="1"/>
  <c r="G85" i="15"/>
  <c r="R85" i="15" s="1"/>
  <c r="G55" i="15"/>
  <c r="R55" i="15" s="1"/>
  <c r="G73" i="15"/>
  <c r="R73" i="15" s="1"/>
  <c r="H86" i="15"/>
  <c r="S86" i="15" s="1"/>
  <c r="H87" i="15"/>
  <c r="S87" i="15" s="1"/>
  <c r="Y14" i="17"/>
  <c r="H53" i="15"/>
  <c r="S53" i="15" s="1"/>
  <c r="X53" i="15"/>
  <c r="G36" i="15"/>
  <c r="R36" i="15" s="1"/>
  <c r="G57" i="15"/>
  <c r="R57" i="15" s="1"/>
  <c r="G62" i="15"/>
  <c r="R62" i="15" s="1"/>
  <c r="H33" i="15"/>
  <c r="S33" i="15" s="1"/>
  <c r="H28" i="15"/>
  <c r="S28" i="15" s="1"/>
  <c r="H64" i="15"/>
  <c r="S64" i="15" s="1"/>
  <c r="H34" i="15"/>
  <c r="S34" i="15" s="1"/>
  <c r="G31" i="15"/>
  <c r="R31" i="15" s="1"/>
  <c r="G19" i="15"/>
  <c r="R19" i="15" s="1"/>
  <c r="G9" i="15"/>
  <c r="R9" i="15" s="1"/>
  <c r="G74" i="15"/>
  <c r="R74" i="15" s="1"/>
  <c r="G17" i="15"/>
  <c r="R17" i="15" s="1"/>
  <c r="G21" i="15"/>
  <c r="R21" i="15" s="1"/>
  <c r="G34" i="15"/>
  <c r="R34" i="15" s="1"/>
  <c r="H30" i="15"/>
  <c r="S30" i="15" s="1"/>
  <c r="H27" i="15"/>
  <c r="S27" i="15" s="1"/>
  <c r="H16" i="15"/>
  <c r="S16" i="15" s="1"/>
  <c r="H29" i="15"/>
  <c r="S29" i="15" s="1"/>
  <c r="H25" i="15"/>
  <c r="S25" i="15" s="1"/>
  <c r="H74" i="15"/>
  <c r="S74" i="15" s="1"/>
  <c r="H62" i="15"/>
  <c r="S62" i="15" s="1"/>
  <c r="G87" i="15"/>
  <c r="R87" i="15" s="1"/>
  <c r="G12" i="15"/>
  <c r="R12" i="15" s="1"/>
  <c r="G68" i="15"/>
  <c r="R68" i="15" s="1"/>
  <c r="G45" i="15"/>
  <c r="R45" i="15" s="1"/>
  <c r="G29" i="15"/>
  <c r="R29" i="15" s="1"/>
  <c r="G20" i="15"/>
  <c r="R20" i="15" s="1"/>
  <c r="G41" i="15"/>
  <c r="R41" i="15" s="1"/>
  <c r="G35" i="15"/>
  <c r="R35" i="15" s="1"/>
  <c r="G25" i="15"/>
  <c r="R25" i="15" s="1"/>
  <c r="H50" i="15"/>
  <c r="S50" i="15" s="1"/>
  <c r="H8" i="15"/>
  <c r="S8" i="15" s="1"/>
  <c r="H37" i="15"/>
  <c r="S37" i="15" s="1"/>
  <c r="H12" i="15"/>
  <c r="S12" i="15" s="1"/>
  <c r="H68" i="15"/>
  <c r="S68" i="15" s="1"/>
  <c r="I62" i="18"/>
  <c r="W39" i="17"/>
  <c r="X39" i="17"/>
  <c r="Y39" i="17" s="1"/>
  <c r="H62" i="18"/>
  <c r="I63" i="18"/>
  <c r="W40" i="17"/>
  <c r="H63" i="18"/>
  <c r="X40" i="17"/>
  <c r="Y40" i="17" s="1"/>
  <c r="S42" i="17"/>
  <c r="Q43" i="17"/>
  <c r="Q7" i="17" s="1"/>
  <c r="O7" i="17"/>
  <c r="L43" i="17"/>
  <c r="G66" i="18" s="1"/>
  <c r="F66" i="18"/>
  <c r="P43" i="17"/>
  <c r="P7" i="17" s="1"/>
  <c r="S41" i="17"/>
  <c r="N7" i="17"/>
  <c r="Y18" i="17" l="1"/>
  <c r="Y16" i="17"/>
  <c r="Z16" i="17" s="1"/>
  <c r="Y9" i="17"/>
  <c r="Z40" i="17"/>
  <c r="S43" i="17"/>
  <c r="T43" i="17" s="1"/>
  <c r="W43" i="17"/>
  <c r="X43" i="17"/>
  <c r="Y43" i="17" s="1"/>
  <c r="T42" i="17"/>
  <c r="V42" i="17"/>
  <c r="U7" i="17"/>
  <c r="G15" i="16" s="1"/>
  <c r="F15" i="16" s="1"/>
  <c r="T41" i="17"/>
  <c r="V41" i="17"/>
  <c r="Z39" i="17"/>
  <c r="S7" i="17" l="1"/>
  <c r="T7" i="17"/>
  <c r="G14" i="16" s="1"/>
  <c r="F14" i="16" s="1"/>
  <c r="V43" i="17"/>
  <c r="V6" i="17" s="1"/>
  <c r="H64" i="18"/>
  <c r="X41" i="17"/>
  <c r="Y41" i="17" s="1"/>
  <c r="I64" i="18"/>
  <c r="W41" i="17"/>
  <c r="H65" i="18"/>
  <c r="X42" i="17"/>
  <c r="Y42" i="17" s="1"/>
  <c r="I65" i="18"/>
  <c r="W42" i="17"/>
  <c r="Z43" i="17"/>
  <c r="Z13" i="17"/>
  <c r="Z14" i="17"/>
  <c r="Z18" i="17"/>
  <c r="Z20" i="17"/>
  <c r="Z9" i="17"/>
  <c r="G13" i="16" l="1"/>
  <c r="F13" i="16" s="1"/>
  <c r="C9" i="18" s="1"/>
  <c r="H66" i="18"/>
  <c r="I66" i="18"/>
  <c r="G12" i="16"/>
  <c r="Z42" i="17"/>
  <c r="Z41" i="17"/>
  <c r="D9" i="18" l="1"/>
  <c r="D8" i="18"/>
  <c r="F12" i="16"/>
  <c r="C8" i="18" s="1"/>
  <c r="G11" i="16"/>
  <c r="F11" i="16" l="1"/>
  <c r="F63" i="16" s="1"/>
  <c r="G65" i="16"/>
  <c r="G63" i="16"/>
  <c r="G64" i="16" l="1"/>
  <c r="G66" i="16" s="1"/>
  <c r="F65" i="16"/>
  <c r="C18" i="18" s="1"/>
  <c r="D18" i="18"/>
  <c r="G67" i="16" l="1"/>
  <c r="G69" i="16" s="1"/>
  <c r="G70" i="16" s="1"/>
  <c r="F64" i="16"/>
  <c r="D17" i="18"/>
  <c r="H59" i="16" l="1"/>
  <c r="H66" i="16"/>
  <c r="H61" i="16"/>
  <c r="H39" i="16"/>
  <c r="E13" i="18" s="1"/>
  <c r="H16" i="16"/>
  <c r="E10" i="18" s="1"/>
  <c r="H13" i="16"/>
  <c r="E9" i="18" s="1"/>
  <c r="H64" i="16"/>
  <c r="E17" i="18" s="1"/>
  <c r="D21" i="18"/>
  <c r="H48" i="16"/>
  <c r="E14" i="18" s="1"/>
  <c r="H30" i="16"/>
  <c r="E12" i="18" s="1"/>
  <c r="H58" i="16"/>
  <c r="H21" i="16"/>
  <c r="E11" i="18" s="1"/>
  <c r="H14" i="16"/>
  <c r="H49" i="16"/>
  <c r="E15" i="18" s="1"/>
  <c r="H65" i="16"/>
  <c r="E18" i="18" s="1"/>
  <c r="H57" i="16"/>
  <c r="H60" i="16"/>
  <c r="H62" i="16"/>
  <c r="H12" i="16"/>
  <c r="E8" i="18" s="1"/>
  <c r="H15" i="16"/>
  <c r="H55" i="16"/>
  <c r="H56" i="16"/>
  <c r="H11" i="16"/>
  <c r="H67" i="16"/>
  <c r="E19" i="18" s="1"/>
  <c r="H63" i="16"/>
  <c r="C17" i="18"/>
  <c r="F66" i="16"/>
  <c r="F67" i="16"/>
  <c r="D19" i="18"/>
  <c r="G68" i="16"/>
  <c r="D20" i="18" s="1"/>
  <c r="E16" i="18" l="1"/>
  <c r="F68" i="16"/>
  <c r="C20" i="18" s="1"/>
  <c r="C19" i="18"/>
  <c r="F69" i="16"/>
  <c r="F70" i="16" s="1"/>
  <c r="D22" i="18"/>
  <c r="G71" i="16"/>
  <c r="D23" i="18" l="1"/>
  <c r="C21" i="18"/>
  <c r="C22" i="18"/>
  <c r="F71" i="16" l="1"/>
  <c r="C23" i="1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B57" authorId="0" shapeId="0" xr:uid="{00000000-0006-0000-0200-000001000000}">
      <text>
        <r>
          <rPr>
            <sz val="9"/>
            <color indexed="81"/>
            <rFont val="Tahoma"/>
            <family val="2"/>
            <charset val="204"/>
          </rPr>
          <t>обучение, санитарные книжки, допуски, лицензии и т.п.</t>
        </r>
      </text>
    </comment>
    <comment ref="B59" authorId="0" shapeId="0" xr:uid="{00000000-0006-0000-0200-000002000000}">
      <text>
        <r>
          <rPr>
            <sz val="9"/>
            <color indexed="81"/>
            <rFont val="Tahoma"/>
            <family val="2"/>
            <charset val="204"/>
          </rPr>
          <t>доставка персонала и материалов, логистические затраты и т.п.</t>
        </r>
      </text>
    </comment>
    <comment ref="B60" authorId="0" shapeId="0" xr:uid="{00000000-0006-0000-0200-000003000000}">
      <text>
        <r>
          <rPr>
            <sz val="9"/>
            <color indexed="81"/>
            <rFont val="Tahoma"/>
            <family val="2"/>
            <charset val="204"/>
          </rPr>
          <t>аренда помещений, расходы на запуск, моб. связь, интернет, канцелярские товары и т.п</t>
        </r>
      </text>
    </comment>
    <comment ref="B64" authorId="0" shapeId="0" xr:uid="{00000000-0006-0000-0200-000004000000}">
      <text>
        <r>
          <rPr>
            <sz val="9"/>
            <color indexed="81"/>
            <rFont val="Tahoma"/>
            <family val="2"/>
            <charset val="204"/>
          </rPr>
          <t>затраты на АУП, аренду офисных и складских помещений, страхование, налог на имущество и т.п.</t>
        </r>
      </text>
    </comment>
    <comment ref="B65" authorId="0" shapeId="0" xr:uid="{00000000-0006-0000-0200-000005000000}">
      <text>
        <r>
          <rPr>
            <sz val="9"/>
            <color indexed="81"/>
            <rFont val="Tahoma"/>
            <family val="2"/>
            <charset val="204"/>
          </rPr>
          <t>кредит учитывается для покрытия потребности в оборотных средствах (ФОТ, ТМЦ)</t>
        </r>
      </text>
    </comment>
  </commentList>
</comments>
</file>

<file path=xl/sharedStrings.xml><?xml version="1.0" encoding="utf-8"?>
<sst xmlns="http://schemas.openxmlformats.org/spreadsheetml/2006/main" count="373" uniqueCount="328">
  <si>
    <t>Расходы на оплату труда</t>
  </si>
  <si>
    <t>Инвентарь</t>
  </si>
  <si>
    <t>Спецодежда</t>
  </si>
  <si>
    <t>Амортизация ОС</t>
  </si>
  <si>
    <t>Подрядные работы</t>
  </si>
  <si>
    <t>Эксплуатация и ремонт оборудования</t>
  </si>
  <si>
    <t>Расходные материалы (РМ для сан.зон)</t>
  </si>
  <si>
    <t>Расходные материалы (химия и РМ для уборки)</t>
  </si>
  <si>
    <t>Расходные материалы</t>
  </si>
  <si>
    <t>ковросервис</t>
  </si>
  <si>
    <t>альп.работы</t>
  </si>
  <si>
    <t>вывоз отходов</t>
  </si>
  <si>
    <t>Прочие расходы</t>
  </si>
  <si>
    <t>Транспортные расходы</t>
  </si>
  <si>
    <t>График и время работы</t>
  </si>
  <si>
    <t>Кол-во месяцев</t>
  </si>
  <si>
    <t>Комментарии</t>
  </si>
  <si>
    <t>Наименование статьи затрат</t>
  </si>
  <si>
    <t>Кол-во</t>
  </si>
  <si>
    <t>НДФЛ</t>
  </si>
  <si>
    <t>Стоимость  без НДС</t>
  </si>
  <si>
    <t xml:space="preserve">Накладные расходы       </t>
  </si>
  <si>
    <t xml:space="preserve">  Зарплата, премии, компенсации</t>
  </si>
  <si>
    <t xml:space="preserve">  Налоги на ФОТ </t>
  </si>
  <si>
    <t>НДС</t>
  </si>
  <si>
    <t>Себестоимость (производственная)</t>
  </si>
  <si>
    <t>Полная себестоимость (справочно)</t>
  </si>
  <si>
    <t xml:space="preserve">Вознаграждение </t>
  </si>
  <si>
    <t>Кол- во, чел.</t>
  </si>
  <si>
    <t>Расходы на оплату труда (см. лист "Расчет ФОТ")</t>
  </si>
  <si>
    <t>Цена покупки, руб.</t>
  </si>
  <si>
    <t>Инвентарь 1</t>
  </si>
  <si>
    <t>Инвентарь 2</t>
  </si>
  <si>
    <t>Инвентарь 3</t>
  </si>
  <si>
    <t>Спецодежда 2</t>
  </si>
  <si>
    <t>Горюче-смазочные материалы (ГСМ)</t>
  </si>
  <si>
    <t>Аренда оборудования и транспортных средств (ТС)</t>
  </si>
  <si>
    <t>Оплата праздничных дней производится в двойном размере.</t>
  </si>
  <si>
    <t xml:space="preserve">Размер оплачиваемого работодателем больничного листа в расчете учитывается для каждого сотрудника в размере не менее стоимости 3 (трёх) рабочих дней ежегодно. </t>
  </si>
  <si>
    <t xml:space="preserve">Спецодежда 1 </t>
  </si>
  <si>
    <t>Расходы на СОУТ (новый объект),  по охране труда (ОТ) и промышленной безопасности (ПБ)</t>
  </si>
  <si>
    <t>Электрооборудование крупное -  поломоечные машины различного типа (3 амортизационная группа)</t>
  </si>
  <si>
    <t>Механизация крупная (фронтальные погрузчики с навесным оборудованием более 1 куб.м., самосвалы грузоподъемностью более 10 тонн, автогрейдеры) 5 аморт.группа</t>
  </si>
  <si>
    <t>Механизация средняя и малая западного производства  (фронтальные погрузчики  до 1 куб.м., коммунальные машины для уборки дорог и тротуаров, паркингов, самосвалы до 10 тонн и проч.) 4 аморт.группа</t>
  </si>
  <si>
    <t>Механизация средняя и малая производства СНГ и КНР  (фронтальные погрузчики типа МТЗ до 1 куб.м., коммунальные машины для уборки дорог и тратуаров, паркингов, самосвалы до 10 тонн и проч.) 4 аморт.группа</t>
  </si>
  <si>
    <t>Стоимость заемных средств (при отсрочке платежей от 30 календарных дней и более)</t>
  </si>
  <si>
    <t>Количество дней отсрочки платежа</t>
  </si>
  <si>
    <t>Коэффициент накладных расходов</t>
  </si>
  <si>
    <t>Ставка по кредиту</t>
  </si>
  <si>
    <t>Коэффициент расчета вознаграждения</t>
  </si>
  <si>
    <t>Стоимость, руб.</t>
  </si>
  <si>
    <t>Расходы на банковскую гарантию и обеспечение заявки, руб.</t>
  </si>
  <si>
    <t>дератизация</t>
  </si>
  <si>
    <t>вывоз снега</t>
  </si>
  <si>
    <t>Калькуляция</t>
  </si>
  <si>
    <t xml:space="preserve">В настоящей форме Калькуляции все затраты необходимо указывать без учета НДС. </t>
  </si>
  <si>
    <t>Количество дней отпуска рассчитывается исходя из 28 календарных дней. Дополнительно учитывается отпуск, установленный законодательством для районов Крайнего Севера и приравненных к ним (8,16 или 24 календарных дня), а также отпуск, который может быть установлен по результатам специальной оценки условий труда (СОУТ).</t>
  </si>
  <si>
    <t>Срок контракта, мес.</t>
  </si>
  <si>
    <t>Кол-во рабочих часов в смену</t>
  </si>
  <si>
    <t>Кол-во рабочих смен в месяц</t>
  </si>
  <si>
    <t>Кол-во рабочих часов итого</t>
  </si>
  <si>
    <t>Сроки амортизации основных средств определяются каждым участником самостоятельно в соответствии с действующим законодательством РФ.</t>
  </si>
  <si>
    <t xml:space="preserve">Субъект РФ, в котором оказывается услуга </t>
  </si>
  <si>
    <t>Площадь объекта (кв.м)</t>
  </si>
  <si>
    <t xml:space="preserve">Наименование/ИНН подрядчика </t>
  </si>
  <si>
    <t xml:space="preserve">Наименование/ИНН заказчика услуг, к которому относится объект </t>
  </si>
  <si>
    <t>Вид объекта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</si>
  <si>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</si>
  <si>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</si>
  <si>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</si>
  <si>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</si>
  <si>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</si>
  <si>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</si>
  <si>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</si>
  <si>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</si>
  <si>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</si>
  <si>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</si>
  <si>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</si>
  <si>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</si>
  <si>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</si>
  <si>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</si>
  <si>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</si>
  <si>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</si>
  <si>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</si>
  <si>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</si>
  <si>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</si>
  <si>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</si>
  <si>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</si>
  <si>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</si>
  <si>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</si>
  <si>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</si>
  <si>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</si>
  <si>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</si>
  <si>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</si>
  <si>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</si>
  <si>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</si>
  <si>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</si>
  <si>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</si>
  <si>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Республика Башкортостан</t>
  </si>
  <si>
    <t>Республика Марий Эл</t>
  </si>
  <si>
    <t>Республика Мордовия</t>
  </si>
  <si>
    <t>Удмуртская Республика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</si>
  <si>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</si>
  <si>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</si>
  <si>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</si>
  <si>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</si>
  <si>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</si>
  <si>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</si>
  <si>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</si>
  <si>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</si>
  <si>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Курганская область</t>
  </si>
  <si>
    <t>Свердловская область</t>
  </si>
  <si>
    <t>Челябинская область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</si>
  <si>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</si>
  <si>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</si>
  <si>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</si>
  <si>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</si>
  <si>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</si>
  <si>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</si>
  <si>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Новосибирская область</t>
  </si>
  <si>
    <t>Омская область</t>
  </si>
  <si>
    <t>Томская область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</si>
  <si>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</si>
  <si>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</si>
  <si>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</si>
  <si>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</si>
  <si>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</si>
  <si>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</si>
  <si>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</si>
  <si>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</si>
  <si>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</si>
  <si>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Регион РФ</t>
  </si>
  <si>
    <t>Московская область</t>
  </si>
  <si>
    <t>Кемеровская область - Кузбасс</t>
  </si>
  <si>
    <t>Еврейская автономная область</t>
  </si>
  <si>
    <t>Чукотский автономный округ</t>
  </si>
  <si>
    <t>Город федерального значения Севастополь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</si>
  <si>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</si>
  <si>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</si>
  <si>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</si>
  <si>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</si>
  <si>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Осетия-Алания</t>
  </si>
  <si>
    <t>Чеченская Республика</t>
  </si>
  <si>
    <t>Ставропольский край</t>
  </si>
  <si>
    <t>Республика Татарстан (Татарстан)</t>
  </si>
  <si>
    <t>Чувашская Республика - Чувашия</t>
  </si>
  <si>
    <t xml:space="preserve">Город Москва </t>
  </si>
  <si>
    <t xml:space="preserve">Ненецкий автономный округ </t>
  </si>
  <si>
    <t xml:space="preserve">Город Санкт-Петербург </t>
  </si>
  <si>
    <t xml:space="preserve">Республика Адыгея </t>
  </si>
  <si>
    <t xml:space="preserve">Ханты-Мансийский автономный округ - Югра </t>
  </si>
  <si>
    <t xml:space="preserve">Ямало-Ненецкий автономный округ </t>
  </si>
  <si>
    <t xml:space="preserve">Тюменская область </t>
  </si>
  <si>
    <t>Код субъекта РФ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</si>
  <si>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</si>
  <si>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</si>
  <si>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</si>
  <si>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</si>
  <si>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</si>
  <si>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</si>
  <si>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</si>
  <si>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</si>
  <si>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</si>
  <si>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12</t>
  </si>
  <si>
    <t>13</t>
  </si>
  <si>
    <t>15</t>
  </si>
  <si>
    <t>16</t>
  </si>
  <si>
    <t>18</t>
  </si>
  <si>
    <t>20</t>
  </si>
  <si>
    <t>21</t>
  </si>
  <si>
    <t>26</t>
  </si>
  <si>
    <t>43</t>
  </si>
  <si>
    <t>45</t>
  </si>
  <si>
    <t>52</t>
  </si>
  <si>
    <t>56</t>
  </si>
  <si>
    <t>58</t>
  </si>
  <si>
    <t>59</t>
  </si>
  <si>
    <t>63</t>
  </si>
  <si>
    <t>64</t>
  </si>
  <si>
    <t>66</t>
  </si>
  <si>
    <t>72</t>
  </si>
  <si>
    <t>73</t>
  </si>
  <si>
    <t>74</t>
  </si>
  <si>
    <t>86</t>
  </si>
  <si>
    <t>89</t>
  </si>
  <si>
    <t xml:space="preserve">77 Город Москва </t>
  </si>
  <si>
    <t>Налог на прибыль (информационно)</t>
  </si>
  <si>
    <t>РФ</t>
  </si>
  <si>
    <t>Бюджет/Здравоохранение</t>
  </si>
  <si>
    <t>Бюджет/Образование</t>
  </si>
  <si>
    <t>Бюджет/ФОИВ</t>
  </si>
  <si>
    <t>Бюджет/Силовые структуры</t>
  </si>
  <si>
    <t>Бюджет/ЖД и Метрополитены</t>
  </si>
  <si>
    <t>Бюджет/Прочие</t>
  </si>
  <si>
    <t>Индустрия/Нефтегазовая промышленность</t>
  </si>
  <si>
    <t>Индустрия/Машиностроение</t>
  </si>
  <si>
    <t>Индустрия/Пищевая</t>
  </si>
  <si>
    <t xml:space="preserve">Индустрия/Фармацевтическая </t>
  </si>
  <si>
    <t>Индустрия/Уголь, руда, металл</t>
  </si>
  <si>
    <t>Индустрия/Энергетика</t>
  </si>
  <si>
    <t>Индустрия/ Прочая</t>
  </si>
  <si>
    <t>Недвижимость/Аэропорты, стадионы и пр.</t>
  </si>
  <si>
    <t>Недвижимость/Жилая</t>
  </si>
  <si>
    <t>Недвижимость/Логистическая</t>
  </si>
  <si>
    <t>Недвижимость/Офисная</t>
  </si>
  <si>
    <t>Недвижимость/Торгово-развлекательная</t>
  </si>
  <si>
    <t>Недвижимость/Прочая</t>
  </si>
  <si>
    <t>Cети/Nonfood</t>
  </si>
  <si>
    <t>Сети/Супермаркеты</t>
  </si>
  <si>
    <t>Сети/Гипермаркеты</t>
  </si>
  <si>
    <t>Сети/Распределительные центры</t>
  </si>
  <si>
    <t>Сети/Офисы</t>
  </si>
  <si>
    <t>Прочее</t>
  </si>
  <si>
    <t>Электрооборудование (пылесосы, пыле/водосос, экстракторы и т.п.) (1 амортизацонная группа)</t>
  </si>
  <si>
    <t>электрооборудование среднее - однодисковые роторные машины в различных навесных модификациях, высокоскоростные роторные машины, специализированные машины для чистки ковров, эскалаторов, траволаторов и проч. (2 группа)</t>
  </si>
  <si>
    <t xml:space="preserve">Механизация ручная (снегоочиститель шнековый, снегоуборчная машина щеточного типа, травокосилка, газонокосилка и проч.) 2 аморт.группа </t>
  </si>
  <si>
    <t>Срок амортизации (максимальный)</t>
  </si>
  <si>
    <t>Сети/Магазины у дома</t>
  </si>
  <si>
    <t xml:space="preserve">  Зарплата, премии, компенсации, питание</t>
  </si>
  <si>
    <t>Правила заполнения</t>
  </si>
  <si>
    <t xml:space="preserve">Заполнению (редактированию) подлежат ячейки, отмеченные серым маркером. Остальные ячейки защищены от редактирования (в них не требуется вносить изменения и/или значения параметров в них рассчитываются автоматически). </t>
  </si>
  <si>
    <t>Штатное расписание во вкладке "Расчет ФОТ" подлежит заполнению в зависимости от обслуживаемого объекта и необходимого графика работы</t>
  </si>
  <si>
    <t>Справочная информация</t>
  </si>
  <si>
    <t>Адрес объекта (индекс, город (населенный пункт), улица, дом (корпус, строение), офис</t>
  </si>
  <si>
    <t xml:space="preserve">Расчет заработной платы в час во вкладке "Статистическая ЗП" производится из максимально возможных согласно ТК РФ 246 часов  среднемесячно при работе сотрудника  по основному договору и договору совместительства, формула расчета представлена в п.1                                                                                                                                                                </t>
  </si>
  <si>
    <t xml:space="preserve">Табелирование </t>
  </si>
  <si>
    <t>Итого ФОТ (с учетом районных коэффициентов, северных надбавок, праздничных, отпускных и больничных дней, НДФЛ и  страховых взносов)</t>
  </si>
  <si>
    <t>% отклонения стоимости ч/ч от ЕМИСС в час- 20% (не ниже МРОТ)</t>
  </si>
  <si>
    <t>Оплата праздничных  дней</t>
  </si>
  <si>
    <t>Оплата отпускных дней</t>
  </si>
  <si>
    <t>Оплата питания</t>
  </si>
  <si>
    <t xml:space="preserve">Оплата больничных дней (3 дня)        </t>
  </si>
  <si>
    <t xml:space="preserve">Заработная плата, руб.   </t>
  </si>
  <si>
    <t>в месяц</t>
  </si>
  <si>
    <t>в смену</t>
  </si>
  <si>
    <t>в час.</t>
  </si>
  <si>
    <t xml:space="preserve">Заработная плата всех сотрудников </t>
  </si>
  <si>
    <t>Заработная плата 1 сотр. НЕТТО (на руки)</t>
  </si>
  <si>
    <t xml:space="preserve"> НЕТТО (на руки) в месяц</t>
  </si>
  <si>
    <t>ЕМИСС -20% (не ниже МРОТ), руб. в час</t>
  </si>
  <si>
    <t>руб. в час</t>
  </si>
  <si>
    <t>руб. в месяц</t>
  </si>
  <si>
    <t>ООО "ПРИМЕР"</t>
  </si>
  <si>
    <t>Критерий коммерческого предприятия</t>
  </si>
  <si>
    <t>МСП</t>
  </si>
  <si>
    <t>не МСП</t>
  </si>
  <si>
    <t>ЕМИСС среднемесячно минус 20%  в час, включая страховые взносы</t>
  </si>
  <si>
    <t>ЕМИСС минус 20%</t>
  </si>
  <si>
    <t xml:space="preserve"> в месяц                    </t>
  </si>
  <si>
    <t xml:space="preserve">в час                     </t>
  </si>
  <si>
    <t xml:space="preserve">среднемесячно </t>
  </si>
  <si>
    <t xml:space="preserve">  в час</t>
  </si>
  <si>
    <t>Итого выручка проекта среднемесячно, руб.</t>
  </si>
  <si>
    <t>Итого выручка проекта за весь период, руб.</t>
  </si>
  <si>
    <t>Расходные материалы (для уборки внешней территории)</t>
  </si>
  <si>
    <t>Расходные материалы (прочие)</t>
  </si>
  <si>
    <t>Спецодежда 3</t>
  </si>
  <si>
    <t>Спецодежда 4</t>
  </si>
  <si>
    <t>Иностранцы (ЕАЭС)</t>
  </si>
  <si>
    <t>Иностранцы (патент)</t>
  </si>
  <si>
    <t>Гражданство</t>
  </si>
  <si>
    <t xml:space="preserve">Заработная плата за 1 час устанавливается в размере не менее определенного по формуле (далее – Минимальная расчетная заработная плата за 1 час):
80% от среднего уровня заработной платы по отрасли в регионе оказания услуг, определенной в соответствии с данными, опубликованными Федеральной службой государственной статистики на официальном сайте Единой межведомственной информационно-статистической системы (далее – ЕМИСС)/246 (далее – Средний уровень заработной платы за час), где 246 – это максимально возможное количество рабочих часов среднемесячно по трудовому договору и договору совместительства на 1 человека в соответствии с ТК РФ.
При этом максимальное количество отработанных сотрудником часов среднемесячно не должно превышать 246 рабочих часов 
Для целей расчета среднего уровня заработной платы по отрасли принимаются данные о среднемесячной начисленной заработной плате работников организаций, соответствующих отраслевому виду экономической деятельности по ОКВЭД-2 (группа 81.2 «Деятельность по чистке и уборке»), за последний период (год,квартал), опубликованный на официальном сайте ЕМИСС, на момент составления расчета.
В случае, если определенная таким образом минимальная расчетная заработная плата за 1 час работы окажется ниже уровня заработной платы, рассчитанного по формуле:
МРОТ (минимальный размер заработной платы, установленной в субъекте РФ)/164  рабочих часа (далее Минимальный размер заработной платы за час), где 
164 – это количество рабочих часов в месяц для 40 часовой рабочей недели, согласно производственному календарю, 
Минимальная расчетная заработная плата за 1 час принимается Исполнителем равной Минимальному размеру заработной платы за час (МРОТ/164).
 Процент отклонения отображается в столбце АА "Расчет ФОТ", подсвечивается зеленым в случае соответствия, красным в случае несоответствия  требуемому критерию. </t>
  </si>
  <si>
    <t xml:space="preserve">Расчетная стоимость услуги </t>
  </si>
  <si>
    <t>Стоимость, руб./мес.</t>
  </si>
  <si>
    <t>Доля в выручке без НДС, %</t>
  </si>
  <si>
    <t>ФОТ</t>
  </si>
  <si>
    <t xml:space="preserve">Налоги на ФОТ </t>
  </si>
  <si>
    <t xml:space="preserve">Стоимость заемных средств </t>
  </si>
  <si>
    <t>Расчетная стоимость трудового ресурса</t>
  </si>
  <si>
    <t>Должность</t>
  </si>
  <si>
    <t>в час</t>
  </si>
  <si>
    <t>Заработная плата 1 сотр. НЕТТО (на руки), руб.</t>
  </si>
  <si>
    <t>Кол-во часов</t>
  </si>
  <si>
    <t>Надбавки и взносы с ФОТ, руб./период договора</t>
  </si>
  <si>
    <t>руб. за период договора</t>
  </si>
  <si>
    <t>НЕТТО (на руки) за период договора</t>
  </si>
  <si>
    <t xml:space="preserve"> с НДФЛ (к начислению) за период договора</t>
  </si>
  <si>
    <t>**Стоимость, руб./период договора</t>
  </si>
  <si>
    <t>**Стоимость услуги за период договора= стоимость нормо-часа Х количество часов за период договора</t>
  </si>
  <si>
    <t>Надбавки, НДФЛ и взносы с ФОТ, руб./период договора</t>
  </si>
  <si>
    <t>Итого ФОТ (с учетом районных коэффициентов, северных надбавок, праздничных, отпускных и больничных дней, НДФЛ и  страховых взносов), руб./ период договора</t>
  </si>
  <si>
    <t>г. Пример, ул. Пример, д. 8</t>
  </si>
  <si>
    <t>Инвентарь 4</t>
  </si>
  <si>
    <t>Инвентарь 5</t>
  </si>
  <si>
    <t>Инвентарь 6</t>
  </si>
  <si>
    <t>Инвентарь 7</t>
  </si>
  <si>
    <t>Инвентарь 8</t>
  </si>
  <si>
    <t>Спецодежда 5</t>
  </si>
  <si>
    <t>Спецодежда 6</t>
  </si>
  <si>
    <t>Спецодежда 7</t>
  </si>
  <si>
    <t>Спецодежда 8</t>
  </si>
  <si>
    <r>
      <t>Настоящая форма содержит вкладки - "Статистическая ЗП", "Калькуляция",  "Расчет ФОТ</t>
    </r>
    <r>
      <rPr>
        <sz val="12"/>
        <color rgb="FF00B050"/>
        <rFont val="Times New Roman"/>
        <family val="1"/>
        <charset val="204"/>
      </rPr>
      <t xml:space="preserve">" </t>
    </r>
    <r>
      <rPr>
        <sz val="12"/>
        <rFont val="Times New Roman"/>
        <family val="1"/>
        <charset val="204"/>
      </rPr>
      <t>и  «Приложение к договору»</t>
    </r>
    <r>
      <rPr>
        <sz val="12"/>
        <color rgb="FF333333"/>
        <rFont val="Times New Roman"/>
        <family val="1"/>
        <charset val="204"/>
      </rPr>
      <t xml:space="preserve"> .  Листы "Калькуляция" и "Расчет ФОТ" являются обязательными для заполнения в полном объеме.</t>
    </r>
  </si>
  <si>
    <t xml:space="preserve"> Вкладка "Приложение к договору", в которой указываются расчетная стоимость услуги с разбивкой на статьи затрат и расчетная стоимость трудового ресурса, заполняется автоматически при заполнении вкладок "Калькуляция" и "Расчет ФОТ".</t>
  </si>
  <si>
    <t>В разделе «Амортизация ОС» не допускается указывать в основные средства с нулевой остаточной стоимостью. При формировании Калькуляции необходимо в обязательном порядке учитывать затраты на амортизацию каждого основного средства (исходя из ежемесячной амортизации нового основного средства).</t>
  </si>
  <si>
    <t>В разделе «Инвентарь» не допускается указывать инвентарь б/у и/или инвентарь с нулевой стоимостью. В Калькуляцию каждого проекта необходимо закладывать приобретение нового инвентаря по действующим на момент расчета ценам поставщиков.</t>
  </si>
  <si>
    <t>В разделе «Спецодежда» указанное количество комплектов спецодежды должно соответствовать планируемому количеству персонала и учитывать сезонность (зима/лето) и условия труда. Для контрактов продолжительностью более 1(одного) года необходимо учитывать ежегодное приобретение комплектов «летней» спецодежды для всех сотрудников, комплекты «зимней» спецодежды подлежат обновлению не реже, чем 1 раз в 2(два) года.</t>
  </si>
  <si>
    <t>В разделе «Расходы на СОУТ (новый объект),  по охране труда (ОТ) и промышленной безопасности (ПБ)» в обязательном порядке должны быть учтены соответствующие затраты на выполнение нормативов и требований в области охраны труда, пожарной и промышленной безопасности (в т.ч. медосмотры,  медкнижки, освидетельствование рабочих мест,  аттестации по электро- и пожарной безопасности и т.д.) по действующим на момент расчета расценкам поставщиков указанных услуг.</t>
  </si>
  <si>
    <t>В разделе «Эксплуатация и ремонт оборудования» указываются затраты на ремонт и обслуживание основных средств, а также затраты на приобретение расходных материалов (щетки, скребки, резинки и др.). Данные затраты должны ежегодно составлять не менее 5% от стоимости основного средства.</t>
  </si>
  <si>
    <t>Размер страховых взносов для граждан РФ и иностранных граждан составляет 30%, без учета страховых взносов от несчастных случаев, которые закладываются согласно таблице производственных рисков (от 0,2 до 8,5%). Применительно к клинингу страховые взносы в ФСС по несчастным случаям в среднем равны 0,5%.</t>
  </si>
  <si>
    <t>Взнос в единый фонд пенсионного и социального страхования</t>
  </si>
  <si>
    <t>*</t>
  </si>
  <si>
    <t>данные ЕМИСС пока отсутствуют</t>
  </si>
  <si>
    <t xml:space="preserve"> в час, включая отпускные, больничные, страховые взносы</t>
  </si>
  <si>
    <t xml:space="preserve"> в месяц, включая отпускные и больничные (без страховых взносов)</t>
  </si>
  <si>
    <t xml:space="preserve"> в час, включая отпускные и больничные (без страховых взносов)</t>
  </si>
  <si>
    <t>**</t>
  </si>
  <si>
    <t>Донецкая Народная Республика**</t>
  </si>
  <si>
    <t>Луганская Народная Республика**</t>
  </si>
  <si>
    <t>Запорожская область**</t>
  </si>
  <si>
    <t>Херсонская область**</t>
  </si>
  <si>
    <t>Значение для сравнения в час, включая страховые взносы, отпускные и больничные</t>
  </si>
  <si>
    <t>Значение для сравнения (справочно), включая отпускные и больничные (без страховых взносов)</t>
  </si>
  <si>
    <t>ЕМИСС и МРОТ включают НДФЛ</t>
  </si>
  <si>
    <t>Среднемесячно</t>
  </si>
  <si>
    <t xml:space="preserve">Стоимость с НДС </t>
  </si>
  <si>
    <t>Стоимость с НДС</t>
  </si>
  <si>
    <t xml:space="preserve">Компании, работающие на УСН (без НДС), считают затраты без учета налога на добавленную стоимость. Далее необходимо прибавлять сумму расчетного налога согласно внутренней системе упрощенного налогообложения. </t>
  </si>
  <si>
    <t>Данные ЕМИСС за январь - сентябрь  2025 г. по коду ОКВЭД2 81.2 Услуги по чистке и уборке*</t>
  </si>
  <si>
    <t>Менеджер объекта</t>
  </si>
  <si>
    <t>Оператор внутренней уборки</t>
  </si>
  <si>
    <t>Оператор поломоечной машины</t>
  </si>
  <si>
    <t>Тележечник</t>
  </si>
  <si>
    <t>Оператор внешней уборки</t>
  </si>
  <si>
    <t>Тракторист</t>
  </si>
  <si>
    <t>5х2  09:00-18:00</t>
  </si>
  <si>
    <t>6х1  09:00-21:00</t>
  </si>
  <si>
    <t>Согласно производственному календарю в 2026 году 1972 максимально возможных рабочих часов (при 40- часовой рабочей неделе) по одному трудовому договору (без переработок), т.е. 164,3 часа среднемесячно.                                                               
ТК РФ допускается работа по совместительству с продолжительностью рабочего времени, не превышающей половины месячной нормы рабочего времени, в 2026 году это 1972/2=986 часов. Таким образом, расчет максимально возможного количества рабочих часов в год по основному договору и договору совместительства выглядит следующим образом: 1972+0,5*1 972=2958 /12 месяцев=246,5 часов (среднемесячно). 
Согласно ТК РФ максимально возможное количество человеко-часов (3 120/ в год)  можно установить графиком работы персоналу 6/1-10 часов, это основной договор плюс договор совместительства. 
В случае установки графика работы, при котором количество человеко- часов по каждой специальности и каждому сотруднику превышает 3 078 часов в год, ячейка с итоговым количеством человеко- часов (столбец J вкладки "Расчет ФОТ") окрашивается в красный цвет, если не превышает- в зеленый.</t>
  </si>
  <si>
    <t>МРОТ (на 01.02.2026)*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</si>
</sst>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_-* #,##0.00_₽_-;\-* #,##0.00_₽_-;_-* &quot;-&quot;??_₽_-;_-@_-"/>
    <numFmt numFmtId="166" formatCode="_-* #,##0_₽_-;\-* #,##0_₽_-;_-* &quot;-&quot;??_₽_-;_-@_-"/>
    <numFmt numFmtId="167" formatCode="0.0%"/>
    <numFmt numFmtId="168" formatCode="_-* #,##0\ _₽_-;\-* #,##0\ _₽_-;_-* &quot;-&quot;??\ _₽_-;_-@_-"/>
    <numFmt numFmtId="169" formatCode="0.00000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2E2E2E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C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color rgb="FF00B050"/>
      <name val="Times New Roman"/>
      <family val="1"/>
      <charset val="204"/>
    </font>
    <font>
      <sz val="12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rgb="FFE7E7E7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6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center" indent="1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left" vertical="center" indent="1"/>
    </xf>
    <xf numFmtId="0" fontId="3" fillId="0" borderId="39" xfId="0" applyFont="1" applyBorder="1" applyAlignment="1">
      <alignment horizontal="right" vertical="center" wrapText="1" indent="1"/>
    </xf>
    <xf numFmtId="3" fontId="3" fillId="0" borderId="39" xfId="0" applyNumberFormat="1" applyFont="1" applyBorder="1" applyAlignment="1">
      <alignment horizontal="right" vertical="center" wrapText="1" indent="1"/>
    </xf>
    <xf numFmtId="0" fontId="3" fillId="3" borderId="39" xfId="0" applyFont="1" applyFill="1" applyBorder="1" applyAlignment="1">
      <alignment horizontal="right" vertical="center" wrapText="1" indent="1"/>
    </xf>
    <xf numFmtId="0" fontId="8" fillId="6" borderId="39" xfId="0" applyFont="1" applyFill="1" applyBorder="1" applyAlignment="1">
      <alignment horizontal="right" vertical="center" wrapText="1" indent="1"/>
    </xf>
    <xf numFmtId="0" fontId="4" fillId="0" borderId="2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9" fillId="0" borderId="0" xfId="0" applyFont="1"/>
    <xf numFmtId="166" fontId="3" fillId="5" borderId="2" xfId="1" applyNumberFormat="1" applyFont="1" applyFill="1" applyBorder="1" applyProtection="1">
      <protection locked="0"/>
    </xf>
    <xf numFmtId="0" fontId="4" fillId="0" borderId="8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3" fontId="4" fillId="0" borderId="9" xfId="0" applyNumberFormat="1" applyFont="1" applyBorder="1" applyAlignment="1">
      <alignment vertical="top"/>
    </xf>
    <xf numFmtId="3" fontId="4" fillId="0" borderId="2" xfId="0" applyNumberFormat="1" applyFont="1" applyBorder="1" applyAlignment="1">
      <alignment horizontal="right" vertical="top"/>
    </xf>
    <xf numFmtId="3" fontId="4" fillId="0" borderId="1" xfId="0" applyNumberFormat="1" applyFont="1" applyBorder="1" applyAlignment="1">
      <alignment horizontal="right" vertical="top"/>
    </xf>
    <xf numFmtId="10" fontId="3" fillId="0" borderId="7" xfId="2" applyNumberFormat="1" applyFont="1" applyFill="1" applyBorder="1" applyAlignment="1" applyProtection="1">
      <alignment horizontal="right" vertical="top"/>
    </xf>
    <xf numFmtId="0" fontId="3" fillId="0" borderId="8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3" fontId="3" fillId="0" borderId="9" xfId="0" applyNumberFormat="1" applyFont="1" applyBorder="1" applyAlignment="1">
      <alignment vertical="top"/>
    </xf>
    <xf numFmtId="3" fontId="4" fillId="0" borderId="2" xfId="0" applyNumberFormat="1" applyFont="1" applyBorder="1" applyAlignment="1">
      <alignment vertical="top"/>
    </xf>
    <xf numFmtId="0" fontId="3" fillId="0" borderId="6" xfId="0" applyFont="1" applyBorder="1" applyAlignment="1">
      <alignment horizontal="left" vertical="top"/>
    </xf>
    <xf numFmtId="3" fontId="4" fillId="0" borderId="6" xfId="0" applyNumberFormat="1" applyFont="1" applyBorder="1" applyAlignment="1">
      <alignment vertical="top"/>
    </xf>
    <xf numFmtId="9" fontId="3" fillId="0" borderId="6" xfId="0" applyNumberFormat="1" applyFont="1" applyBorder="1" applyAlignment="1">
      <alignment horizontal="right" indent="1"/>
    </xf>
    <xf numFmtId="3" fontId="3" fillId="0" borderId="6" xfId="0" applyNumberFormat="1" applyFont="1" applyBorder="1"/>
    <xf numFmtId="167" fontId="3" fillId="0" borderId="6" xfId="2" applyNumberFormat="1" applyFont="1" applyFill="1" applyBorder="1" applyAlignment="1" applyProtection="1">
      <alignment horizontal="right" vertical="top"/>
    </xf>
    <xf numFmtId="0" fontId="3" fillId="0" borderId="13" xfId="0" applyFont="1" applyBorder="1" applyAlignment="1">
      <alignment horizontal="left" indent="1"/>
    </xf>
    <xf numFmtId="3" fontId="3" fillId="0" borderId="13" xfId="0" applyNumberFormat="1" applyFont="1" applyBorder="1"/>
    <xf numFmtId="3" fontId="3" fillId="0" borderId="12" xfId="0" applyNumberFormat="1" applyFont="1" applyBorder="1"/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5" borderId="6" xfId="0" applyFont="1" applyFill="1" applyBorder="1" applyProtection="1">
      <protection locked="0"/>
    </xf>
    <xf numFmtId="166" fontId="3" fillId="5" borderId="6" xfId="1" applyNumberFormat="1" applyFont="1" applyFill="1" applyBorder="1" applyProtection="1">
      <protection locked="0"/>
    </xf>
    <xf numFmtId="3" fontId="3" fillId="0" borderId="0" xfId="0" applyNumberFormat="1" applyFont="1"/>
    <xf numFmtId="3" fontId="3" fillId="3" borderId="13" xfId="0" applyNumberFormat="1" applyFont="1" applyFill="1" applyBorder="1"/>
    <xf numFmtId="167" fontId="3" fillId="0" borderId="12" xfId="2" applyNumberFormat="1" applyFont="1" applyFill="1" applyBorder="1" applyAlignment="1" applyProtection="1">
      <alignment horizontal="right" vertical="top"/>
    </xf>
    <xf numFmtId="0" fontId="4" fillId="0" borderId="23" xfId="0" applyFont="1" applyBorder="1" applyAlignment="1">
      <alignment horizontal="left"/>
    </xf>
    <xf numFmtId="3" fontId="3" fillId="3" borderId="14" xfId="0" applyNumberFormat="1" applyFont="1" applyFill="1" applyBorder="1"/>
    <xf numFmtId="3" fontId="4" fillId="0" borderId="15" xfId="0" applyNumberFormat="1" applyFont="1" applyBorder="1" applyAlignment="1">
      <alignment horizontal="right" vertical="top"/>
    </xf>
    <xf numFmtId="3" fontId="4" fillId="0" borderId="14" xfId="0" applyNumberFormat="1" applyFont="1" applyBorder="1" applyAlignment="1">
      <alignment horizontal="right" vertical="top"/>
    </xf>
    <xf numFmtId="10" fontId="3" fillId="0" borderId="16" xfId="2" applyNumberFormat="1" applyFont="1" applyFill="1" applyBorder="1" applyAlignment="1" applyProtection="1">
      <alignment horizontal="right" vertical="top"/>
    </xf>
    <xf numFmtId="0" fontId="3" fillId="0" borderId="24" xfId="0" applyFont="1" applyBorder="1" applyProtection="1">
      <protection locked="0"/>
    </xf>
    <xf numFmtId="0" fontId="3" fillId="5" borderId="25" xfId="0" applyFont="1" applyFill="1" applyBorder="1" applyAlignment="1" applyProtection="1">
      <alignment horizontal="right"/>
      <protection locked="0"/>
    </xf>
    <xf numFmtId="3" fontId="3" fillId="3" borderId="0" xfId="0" applyNumberFormat="1" applyFont="1" applyFill="1"/>
    <xf numFmtId="0" fontId="3" fillId="0" borderId="26" xfId="0" applyFont="1" applyBorder="1" applyProtection="1">
      <protection locked="0"/>
    </xf>
    <xf numFmtId="0" fontId="3" fillId="5" borderId="12" xfId="0" applyFont="1" applyFill="1" applyBorder="1" applyProtection="1">
      <protection locked="0"/>
    </xf>
    <xf numFmtId="166" fontId="3" fillId="5" borderId="12" xfId="1" applyNumberFormat="1" applyFont="1" applyFill="1" applyBorder="1" applyProtection="1">
      <protection locked="0"/>
    </xf>
    <xf numFmtId="0" fontId="3" fillId="0" borderId="28" xfId="0" applyFont="1" applyBorder="1" applyProtection="1">
      <protection locked="0"/>
    </xf>
    <xf numFmtId="3" fontId="4" fillId="0" borderId="16" xfId="0" applyNumberFormat="1" applyFont="1" applyBorder="1" applyAlignment="1">
      <alignment horizontal="right" vertical="top"/>
    </xf>
    <xf numFmtId="0" fontId="3" fillId="0" borderId="16" xfId="0" applyFont="1" applyBorder="1"/>
    <xf numFmtId="3" fontId="4" fillId="0" borderId="29" xfId="0" applyNumberFormat="1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3" fontId="4" fillId="0" borderId="3" xfId="0" applyNumberFormat="1" applyFont="1" applyBorder="1" applyAlignment="1">
      <alignment horizontal="right" vertical="top"/>
    </xf>
    <xf numFmtId="0" fontId="3" fillId="5" borderId="31" xfId="0" applyFont="1" applyFill="1" applyBorder="1" applyAlignment="1" applyProtection="1">
      <alignment horizontal="right" wrapText="1"/>
      <protection locked="0"/>
    </xf>
    <xf numFmtId="0" fontId="3" fillId="5" borderId="2" xfId="0" applyFont="1" applyFill="1" applyBorder="1" applyProtection="1">
      <protection locked="0"/>
    </xf>
    <xf numFmtId="3" fontId="3" fillId="0" borderId="3" xfId="0" applyNumberFormat="1" applyFont="1" applyBorder="1"/>
    <xf numFmtId="0" fontId="3" fillId="5" borderId="32" xfId="0" applyFont="1" applyFill="1" applyBorder="1" applyAlignment="1" applyProtection="1">
      <alignment horizontal="right" wrapText="1"/>
      <protection locked="0"/>
    </xf>
    <xf numFmtId="0" fontId="3" fillId="5" borderId="5" xfId="0" applyFont="1" applyFill="1" applyBorder="1" applyProtection="1">
      <protection locked="0"/>
    </xf>
    <xf numFmtId="166" fontId="3" fillId="5" borderId="5" xfId="1" applyNumberFormat="1" applyFont="1" applyFill="1" applyBorder="1" applyProtection="1">
      <protection locked="0"/>
    </xf>
    <xf numFmtId="0" fontId="4" fillId="0" borderId="18" xfId="0" applyFont="1" applyBorder="1"/>
    <xf numFmtId="0" fontId="4" fillId="0" borderId="21" xfId="0" applyFont="1" applyBorder="1"/>
    <xf numFmtId="3" fontId="3" fillId="0" borderId="19" xfId="0" applyNumberFormat="1" applyFont="1" applyBorder="1"/>
    <xf numFmtId="3" fontId="3" fillId="0" borderId="22" xfId="0" applyNumberFormat="1" applyFont="1" applyBorder="1"/>
    <xf numFmtId="3" fontId="3" fillId="0" borderId="21" xfId="0" applyNumberFormat="1" applyFont="1" applyBorder="1"/>
    <xf numFmtId="3" fontId="4" fillId="5" borderId="19" xfId="0" applyNumberFormat="1" applyFont="1" applyFill="1" applyBorder="1" applyProtection="1">
      <protection locked="0"/>
    </xf>
    <xf numFmtId="10" fontId="3" fillId="0" borderId="15" xfId="2" applyNumberFormat="1" applyFont="1" applyFill="1" applyBorder="1" applyAlignment="1" applyProtection="1">
      <alignment horizontal="right" vertical="top"/>
    </xf>
    <xf numFmtId="167" fontId="3" fillId="0" borderId="20" xfId="2" applyNumberFormat="1" applyFont="1" applyBorder="1" applyAlignment="1" applyProtection="1">
      <alignment horizontal="right" vertical="top"/>
      <protection locked="0"/>
    </xf>
    <xf numFmtId="166" fontId="3" fillId="0" borderId="2" xfId="1" applyNumberFormat="1" applyFont="1" applyFill="1" applyBorder="1" applyProtection="1"/>
    <xf numFmtId="3" fontId="4" fillId="5" borderId="1" xfId="0" applyNumberFormat="1" applyFont="1" applyFill="1" applyBorder="1" applyAlignment="1" applyProtection="1">
      <alignment vertical="top"/>
      <protection locked="0"/>
    </xf>
    <xf numFmtId="10" fontId="3" fillId="0" borderId="2" xfId="2" applyNumberFormat="1" applyFont="1" applyFill="1" applyBorder="1" applyAlignment="1" applyProtection="1">
      <alignment horizontal="right" vertical="top"/>
    </xf>
    <xf numFmtId="166" fontId="3" fillId="0" borderId="5" xfId="1" applyNumberFormat="1" applyFont="1" applyFill="1" applyBorder="1" applyProtection="1"/>
    <xf numFmtId="3" fontId="4" fillId="0" borderId="5" xfId="0" applyNumberFormat="1" applyFont="1" applyBorder="1" applyAlignment="1">
      <alignment vertical="top"/>
    </xf>
    <xf numFmtId="3" fontId="4" fillId="5" borderId="17" xfId="0" applyNumberFormat="1" applyFont="1" applyFill="1" applyBorder="1" applyAlignment="1" applyProtection="1">
      <alignment vertical="top"/>
      <protection locked="0"/>
    </xf>
    <xf numFmtId="166" fontId="3" fillId="5" borderId="10" xfId="1" applyNumberFormat="1" applyFont="1" applyFill="1" applyBorder="1" applyProtection="1">
      <protection locked="0"/>
    </xf>
    <xf numFmtId="3" fontId="4" fillId="0" borderId="10" xfId="0" applyNumberFormat="1" applyFont="1" applyBorder="1" applyAlignment="1">
      <alignment vertical="top"/>
    </xf>
    <xf numFmtId="10" fontId="3" fillId="0" borderId="10" xfId="2" applyNumberFormat="1" applyFont="1" applyFill="1" applyBorder="1" applyAlignment="1" applyProtection="1">
      <alignment horizontal="right" vertical="top"/>
    </xf>
    <xf numFmtId="10" fontId="3" fillId="0" borderId="6" xfId="2" applyNumberFormat="1" applyFont="1" applyFill="1" applyBorder="1" applyAlignment="1" applyProtection="1">
      <alignment horizontal="right" vertical="top"/>
    </xf>
    <xf numFmtId="0" fontId="3" fillId="0" borderId="37" xfId="0" applyFont="1" applyBorder="1" applyAlignment="1">
      <alignment horizontal="left" vertical="top" wrapText="1"/>
    </xf>
    <xf numFmtId="167" fontId="3" fillId="5" borderId="35" xfId="0" applyNumberFormat="1" applyFont="1" applyFill="1" applyBorder="1" applyAlignment="1" applyProtection="1">
      <alignment horizontal="center" vertical="top"/>
      <protection locked="0"/>
    </xf>
    <xf numFmtId="0" fontId="3" fillId="0" borderId="38" xfId="0" applyFont="1" applyBorder="1" applyAlignment="1">
      <alignment horizontal="left" vertical="top" wrapText="1"/>
    </xf>
    <xf numFmtId="3" fontId="4" fillId="0" borderId="8" xfId="0" applyNumberFormat="1" applyFont="1" applyBorder="1" applyAlignment="1">
      <alignment vertical="top"/>
    </xf>
    <xf numFmtId="3" fontId="3" fillId="0" borderId="2" xfId="0" applyNumberFormat="1" applyFont="1" applyBorder="1" applyAlignment="1">
      <alignment vertical="top"/>
    </xf>
    <xf numFmtId="10" fontId="3" fillId="5" borderId="35" xfId="0" applyNumberFormat="1" applyFont="1" applyFill="1" applyBorder="1" applyAlignment="1" applyProtection="1">
      <alignment horizontal="center" vertical="top"/>
      <protection locked="0"/>
    </xf>
    <xf numFmtId="0" fontId="4" fillId="5" borderId="36" xfId="0" applyFont="1" applyFill="1" applyBorder="1" applyAlignment="1" applyProtection="1">
      <alignment horizontal="center" vertical="top"/>
      <protection locked="0"/>
    </xf>
    <xf numFmtId="3" fontId="4" fillId="0" borderId="34" xfId="0" applyNumberFormat="1" applyFont="1" applyBorder="1" applyAlignment="1">
      <alignment vertical="top"/>
    </xf>
    <xf numFmtId="3" fontId="3" fillId="0" borderId="11" xfId="0" applyNumberFormat="1" applyFont="1" applyBorder="1" applyAlignment="1">
      <alignment vertical="top"/>
    </xf>
    <xf numFmtId="10" fontId="3" fillId="0" borderId="0" xfId="0" applyNumberFormat="1" applyFont="1"/>
    <xf numFmtId="166" fontId="3" fillId="0" borderId="2" xfId="1" applyNumberFormat="1" applyFont="1" applyBorder="1" applyProtection="1"/>
    <xf numFmtId="166" fontId="3" fillId="0" borderId="0" xfId="0" applyNumberFormat="1" applyFont="1"/>
    <xf numFmtId="10" fontId="3" fillId="0" borderId="0" xfId="2" applyNumberFormat="1" applyFont="1" applyProtection="1"/>
    <xf numFmtId="168" fontId="3" fillId="0" borderId="0" xfId="0" applyNumberFormat="1" applyFont="1"/>
    <xf numFmtId="166" fontId="4" fillId="0" borderId="2" xfId="0" applyNumberFormat="1" applyFont="1" applyBorder="1" applyAlignment="1">
      <alignment horizontal="center" vertical="center"/>
    </xf>
    <xf numFmtId="0" fontId="3" fillId="5" borderId="2" xfId="0" applyFont="1" applyFill="1" applyBorder="1" applyAlignment="1" applyProtection="1">
      <alignment horizontal="center" vertical="center" wrapText="1"/>
      <protection locked="0"/>
    </xf>
    <xf numFmtId="166" fontId="4" fillId="0" borderId="31" xfId="0" applyNumberFormat="1" applyFont="1" applyBorder="1" applyAlignment="1">
      <alignment horizontal="center" vertical="center"/>
    </xf>
    <xf numFmtId="166" fontId="4" fillId="0" borderId="43" xfId="0" applyNumberFormat="1" applyFont="1" applyBorder="1" applyAlignment="1">
      <alignment horizontal="center" vertical="center"/>
    </xf>
    <xf numFmtId="166" fontId="12" fillId="0" borderId="8" xfId="0" applyNumberFormat="1" applyFont="1" applyBorder="1" applyAlignment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  <protection locked="0"/>
    </xf>
    <xf numFmtId="0" fontId="3" fillId="5" borderId="47" xfId="0" applyFont="1" applyFill="1" applyBorder="1" applyAlignment="1" applyProtection="1">
      <alignment horizontal="right" vertical="center"/>
      <protection locked="0"/>
    </xf>
    <xf numFmtId="166" fontId="3" fillId="5" borderId="2" xfId="1" applyNumberFormat="1" applyFont="1" applyFill="1" applyBorder="1" applyAlignment="1" applyProtection="1">
      <alignment horizontal="center" vertical="center"/>
      <protection locked="0"/>
    </xf>
    <xf numFmtId="0" fontId="3" fillId="5" borderId="10" xfId="0" applyFont="1" applyFill="1" applyBorder="1" applyAlignment="1" applyProtection="1">
      <alignment horizontal="center" vertical="center"/>
      <protection locked="0"/>
    </xf>
    <xf numFmtId="10" fontId="3" fillId="0" borderId="2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43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3" fontId="4" fillId="0" borderId="31" xfId="0" applyNumberFormat="1" applyFont="1" applyBorder="1" applyAlignment="1">
      <alignment horizontal="center" vertical="center"/>
    </xf>
    <xf numFmtId="167" fontId="3" fillId="0" borderId="2" xfId="2" applyNumberFormat="1" applyFont="1" applyBorder="1" applyAlignment="1" applyProtection="1">
      <alignment horizontal="center" vertical="center"/>
    </xf>
    <xf numFmtId="0" fontId="3" fillId="5" borderId="31" xfId="0" applyFont="1" applyFill="1" applyBorder="1" applyAlignment="1" applyProtection="1">
      <alignment horizontal="center" vertical="center"/>
      <protection locked="0"/>
    </xf>
    <xf numFmtId="0" fontId="3" fillId="5" borderId="8" xfId="0" applyFont="1" applyFill="1" applyBorder="1" applyAlignment="1" applyProtection="1">
      <alignment horizontal="center" vertical="center"/>
      <protection locked="0"/>
    </xf>
    <xf numFmtId="166" fontId="3" fillId="3" borderId="2" xfId="1" applyNumberFormat="1" applyFont="1" applyFill="1" applyBorder="1" applyAlignment="1" applyProtection="1">
      <alignment horizontal="center" vertical="center"/>
    </xf>
    <xf numFmtId="166" fontId="4" fillId="3" borderId="2" xfId="1" applyNumberFormat="1" applyFont="1" applyFill="1" applyBorder="1" applyAlignment="1" applyProtection="1">
      <alignment horizontal="center" vertical="center"/>
    </xf>
    <xf numFmtId="166" fontId="4" fillId="3" borderId="43" xfId="1" applyNumberFormat="1" applyFont="1" applyFill="1" applyBorder="1" applyAlignment="1" applyProtection="1">
      <alignment horizontal="center" vertical="center"/>
    </xf>
    <xf numFmtId="166" fontId="4" fillId="3" borderId="31" xfId="1" applyNumberFormat="1" applyFont="1" applyFill="1" applyBorder="1" applyAlignment="1" applyProtection="1">
      <alignment horizontal="center" vertical="center"/>
    </xf>
    <xf numFmtId="166" fontId="3" fillId="3" borderId="31" xfId="1" applyNumberFormat="1" applyFont="1" applyFill="1" applyBorder="1" applyAlignment="1" applyProtection="1">
      <alignment horizontal="center" vertical="center"/>
    </xf>
    <xf numFmtId="166" fontId="3" fillId="3" borderId="43" xfId="1" applyNumberFormat="1" applyFont="1" applyFill="1" applyBorder="1" applyAlignment="1" applyProtection="1">
      <alignment horizontal="center" vertical="center"/>
    </xf>
    <xf numFmtId="166" fontId="5" fillId="3" borderId="8" xfId="1" applyNumberFormat="1" applyFont="1" applyFill="1" applyBorder="1" applyAlignment="1" applyProtection="1">
      <alignment horizontal="center" vertical="center"/>
    </xf>
    <xf numFmtId="0" fontId="3" fillId="5" borderId="31" xfId="0" applyFont="1" applyFill="1" applyBorder="1" applyAlignment="1" applyProtection="1">
      <alignment horizontal="center" vertical="center" wrapText="1"/>
      <protection locked="0"/>
    </xf>
    <xf numFmtId="3" fontId="3" fillId="0" borderId="2" xfId="0" applyNumberFormat="1" applyFont="1" applyBorder="1" applyAlignment="1">
      <alignment horizontal="center" vertical="center"/>
    </xf>
    <xf numFmtId="166" fontId="3" fillId="5" borderId="2" xfId="5" applyNumberFormat="1" applyFont="1" applyFill="1" applyBorder="1" applyAlignment="1" applyProtection="1">
      <alignment horizontal="center" vertical="center"/>
      <protection locked="0"/>
    </xf>
    <xf numFmtId="166" fontId="3" fillId="5" borderId="8" xfId="5" applyNumberFormat="1" applyFont="1" applyFill="1" applyBorder="1" applyAlignment="1" applyProtection="1">
      <alignment horizontal="center" vertical="center"/>
      <protection locked="0"/>
    </xf>
    <xf numFmtId="166" fontId="3" fillId="5" borderId="31" xfId="5" applyNumberFormat="1" applyFont="1" applyFill="1" applyBorder="1" applyAlignment="1" applyProtection="1">
      <alignment horizontal="center" vertical="center"/>
      <protection locked="0"/>
    </xf>
    <xf numFmtId="165" fontId="3" fillId="3" borderId="43" xfId="1" applyFont="1" applyFill="1" applyBorder="1" applyAlignment="1" applyProtection="1">
      <alignment horizontal="center" vertical="center"/>
    </xf>
    <xf numFmtId="166" fontId="3" fillId="5" borderId="8" xfId="1" applyNumberFormat="1" applyFont="1" applyFill="1" applyBorder="1" applyAlignment="1" applyProtection="1">
      <alignment horizontal="center" vertical="center"/>
      <protection locked="0"/>
    </xf>
    <xf numFmtId="0" fontId="3" fillId="5" borderId="44" xfId="0" applyFont="1" applyFill="1" applyBorder="1" applyAlignment="1" applyProtection="1">
      <alignment horizontal="center" vertical="center"/>
      <protection locked="0"/>
    </xf>
    <xf numFmtId="166" fontId="3" fillId="5" borderId="10" xfId="1" applyNumberFormat="1" applyFont="1" applyFill="1" applyBorder="1" applyAlignment="1" applyProtection="1">
      <alignment horizontal="center" vertical="center"/>
      <protection locked="0"/>
    </xf>
    <xf numFmtId="166" fontId="3" fillId="5" borderId="34" xfId="5" applyNumberFormat="1" applyFont="1" applyFill="1" applyBorder="1" applyAlignment="1" applyProtection="1">
      <alignment horizontal="center" vertical="center"/>
      <protection locked="0"/>
    </xf>
    <xf numFmtId="166" fontId="3" fillId="3" borderId="10" xfId="1" applyNumberFormat="1" applyFont="1" applyFill="1" applyBorder="1" applyAlignment="1" applyProtection="1">
      <alignment horizontal="center" vertical="center"/>
    </xf>
    <xf numFmtId="166" fontId="3" fillId="3" borderId="45" xfId="1" applyNumberFormat="1" applyFont="1" applyFill="1" applyBorder="1" applyAlignment="1" applyProtection="1">
      <alignment horizontal="center" vertical="center"/>
    </xf>
    <xf numFmtId="166" fontId="3" fillId="5" borderId="44" xfId="5" applyNumberFormat="1" applyFont="1" applyFill="1" applyBorder="1" applyAlignment="1" applyProtection="1">
      <alignment horizontal="center" vertical="center"/>
      <protection locked="0"/>
    </xf>
    <xf numFmtId="166" fontId="3" fillId="5" borderId="10" xfId="5" applyNumberFormat="1" applyFont="1" applyFill="1" applyBorder="1" applyAlignment="1" applyProtection="1">
      <alignment horizontal="center" vertical="center"/>
      <protection locked="0"/>
    </xf>
    <xf numFmtId="166" fontId="3" fillId="3" borderId="44" xfId="1" applyNumberFormat="1" applyFont="1" applyFill="1" applyBorder="1" applyAlignment="1" applyProtection="1">
      <alignment horizontal="center" vertical="center"/>
    </xf>
    <xf numFmtId="165" fontId="3" fillId="3" borderId="45" xfId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47" xfId="0" applyFont="1" applyBorder="1" applyAlignment="1">
      <alignment horizontal="right" vertical="center"/>
    </xf>
    <xf numFmtId="0" fontId="3" fillId="3" borderId="47" xfId="0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5" fontId="10" fillId="0" borderId="8" xfId="0" applyNumberFormat="1" applyFont="1" applyBorder="1" applyAlignment="1">
      <alignment horizontal="center" vertical="center"/>
    </xf>
    <xf numFmtId="9" fontId="5" fillId="0" borderId="45" xfId="2" applyFont="1" applyBorder="1" applyAlignment="1" applyProtection="1">
      <alignment horizontal="center" vertical="center"/>
    </xf>
    <xf numFmtId="166" fontId="12" fillId="0" borderId="43" xfId="0" applyNumberFormat="1" applyFont="1" applyBorder="1" applyAlignment="1">
      <alignment horizontal="center" vertical="center"/>
    </xf>
    <xf numFmtId="166" fontId="5" fillId="3" borderId="43" xfId="1" applyNumberFormat="1" applyFont="1" applyFill="1" applyBorder="1" applyAlignment="1" applyProtection="1">
      <alignment horizontal="center" vertical="center"/>
    </xf>
    <xf numFmtId="9" fontId="5" fillId="0" borderId="43" xfId="2" applyFont="1" applyBorder="1" applyAlignment="1" applyProtection="1">
      <alignment horizontal="center" vertical="center"/>
    </xf>
    <xf numFmtId="165" fontId="10" fillId="0" borderId="44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5" borderId="55" xfId="0" applyFont="1" applyFill="1" applyBorder="1" applyAlignment="1" applyProtection="1">
      <alignment horizontal="right" vertical="center"/>
      <protection locked="0"/>
    </xf>
    <xf numFmtId="0" fontId="14" fillId="0" borderId="0" xfId="0" applyFont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31" xfId="0" applyFont="1" applyBorder="1"/>
    <xf numFmtId="0" fontId="15" fillId="0" borderId="44" xfId="0" applyFont="1" applyBorder="1"/>
    <xf numFmtId="0" fontId="15" fillId="0" borderId="0" xfId="0" applyFont="1" applyAlignment="1">
      <alignment horizontal="left" wrapText="1"/>
    </xf>
    <xf numFmtId="0" fontId="14" fillId="0" borderId="53" xfId="0" applyFont="1" applyBorder="1" applyAlignment="1">
      <alignment horizontal="left" vertical="center"/>
    </xf>
    <xf numFmtId="0" fontId="14" fillId="0" borderId="48" xfId="0" applyFont="1" applyBorder="1" applyAlignment="1">
      <alignment horizontal="center" vertical="center" wrapText="1"/>
    </xf>
    <xf numFmtId="0" fontId="15" fillId="0" borderId="0" xfId="0" applyFont="1" applyAlignment="1" applyProtection="1">
      <alignment horizontal="right" vertical="center"/>
      <protection locked="0"/>
    </xf>
    <xf numFmtId="0" fontId="14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4" fillId="0" borderId="31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10" fontId="3" fillId="0" borderId="43" xfId="2" applyNumberFormat="1" applyFont="1" applyFill="1" applyBorder="1" applyAlignment="1" applyProtection="1">
      <alignment horizontal="right" vertical="top"/>
    </xf>
    <xf numFmtId="166" fontId="14" fillId="0" borderId="2" xfId="1" applyNumberFormat="1" applyFont="1" applyBorder="1" applyAlignment="1">
      <alignment horizontal="center"/>
    </xf>
    <xf numFmtId="166" fontId="14" fillId="0" borderId="10" xfId="1" applyNumberFormat="1" applyFont="1" applyBorder="1" applyAlignment="1">
      <alignment horizontal="center"/>
    </xf>
    <xf numFmtId="10" fontId="3" fillId="0" borderId="45" xfId="2" applyNumberFormat="1" applyFont="1" applyFill="1" applyBorder="1" applyAlignment="1" applyProtection="1">
      <alignment horizontal="right" vertical="top"/>
    </xf>
    <xf numFmtId="165" fontId="14" fillId="0" borderId="31" xfId="1" applyFont="1" applyBorder="1" applyAlignment="1">
      <alignment vertical="center" wrapText="1"/>
    </xf>
    <xf numFmtId="165" fontId="14" fillId="0" borderId="44" xfId="1" applyFont="1" applyBorder="1" applyAlignment="1">
      <alignment vertical="center" wrapText="1"/>
    </xf>
    <xf numFmtId="0" fontId="14" fillId="0" borderId="16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vertical="top"/>
    </xf>
    <xf numFmtId="0" fontId="3" fillId="0" borderId="41" xfId="0" applyFont="1" applyBorder="1" applyProtection="1">
      <protection locked="0"/>
    </xf>
    <xf numFmtId="0" fontId="4" fillId="0" borderId="31" xfId="0" applyFont="1" applyBorder="1" applyAlignment="1">
      <alignment horizontal="left" vertical="top"/>
    </xf>
    <xf numFmtId="10" fontId="3" fillId="0" borderId="56" xfId="2" applyNumberFormat="1" applyFont="1" applyFill="1" applyBorder="1" applyAlignment="1" applyProtection="1">
      <alignment horizontal="right" vertical="top"/>
    </xf>
    <xf numFmtId="0" fontId="3" fillId="0" borderId="26" xfId="0" applyFont="1" applyBorder="1" applyAlignment="1" applyProtection="1">
      <alignment horizontal="left" vertical="top" wrapText="1"/>
      <protection locked="0"/>
    </xf>
    <xf numFmtId="0" fontId="4" fillId="0" borderId="2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3" fontId="3" fillId="0" borderId="0" xfId="0" applyNumberFormat="1" applyFont="1" applyAlignment="1">
      <alignment vertical="top"/>
    </xf>
    <xf numFmtId="3" fontId="4" fillId="0" borderId="0" xfId="0" applyNumberFormat="1" applyFont="1" applyAlignment="1">
      <alignment vertical="top"/>
    </xf>
    <xf numFmtId="0" fontId="3" fillId="0" borderId="57" xfId="0" applyFont="1" applyBorder="1" applyAlignment="1" applyProtection="1">
      <alignment horizontal="center"/>
      <protection locked="0"/>
    </xf>
    <xf numFmtId="0" fontId="3" fillId="0" borderId="25" xfId="0" applyFont="1" applyBorder="1" applyAlignment="1">
      <alignment horizontal="right" indent="1"/>
    </xf>
    <xf numFmtId="0" fontId="3" fillId="0" borderId="0" xfId="0" applyFont="1" applyAlignment="1">
      <alignment horizontal="right" indent="1"/>
    </xf>
    <xf numFmtId="3" fontId="3" fillId="0" borderId="0" xfId="0" applyNumberFormat="1" applyFont="1" applyAlignment="1">
      <alignment horizontal="center" vertical="center"/>
    </xf>
    <xf numFmtId="0" fontId="3" fillId="0" borderId="57" xfId="0" applyFont="1" applyBorder="1" applyProtection="1">
      <protection locked="0"/>
    </xf>
    <xf numFmtId="0" fontId="4" fillId="0" borderId="25" xfId="0" applyFont="1" applyBorder="1"/>
    <xf numFmtId="3" fontId="4" fillId="0" borderId="0" xfId="0" applyNumberFormat="1" applyFont="1"/>
    <xf numFmtId="0" fontId="3" fillId="5" borderId="25" xfId="0" applyFont="1" applyFill="1" applyBorder="1" applyAlignment="1" applyProtection="1">
      <alignment horizontal="right" indent="1"/>
      <protection locked="0"/>
    </xf>
    <xf numFmtId="0" fontId="3" fillId="5" borderId="27" xfId="0" applyFont="1" applyFill="1" applyBorder="1" applyAlignment="1" applyProtection="1">
      <alignment horizontal="right" indent="1"/>
      <protection locked="0"/>
    </xf>
    <xf numFmtId="10" fontId="9" fillId="0" borderId="24" xfId="0" applyNumberFormat="1" applyFont="1" applyBorder="1" applyProtection="1">
      <protection locked="0"/>
    </xf>
    <xf numFmtId="167" fontId="3" fillId="0" borderId="3" xfId="2" applyNumberFormat="1" applyFont="1" applyFill="1" applyBorder="1" applyAlignment="1" applyProtection="1">
      <alignment horizontal="right" vertical="top"/>
    </xf>
    <xf numFmtId="167" fontId="3" fillId="0" borderId="58" xfId="2" applyNumberFormat="1" applyFont="1" applyFill="1" applyBorder="1" applyAlignment="1" applyProtection="1">
      <alignment horizontal="right" vertical="top"/>
    </xf>
    <xf numFmtId="3" fontId="4" fillId="0" borderId="0" xfId="0" applyNumberFormat="1" applyFont="1" applyAlignment="1">
      <alignment horizontal="right" vertical="top"/>
    </xf>
    <xf numFmtId="167" fontId="3" fillId="0" borderId="7" xfId="2" applyNumberFormat="1" applyFont="1" applyFill="1" applyBorder="1" applyAlignment="1" applyProtection="1">
      <alignment horizontal="right" vertical="top"/>
    </xf>
    <xf numFmtId="0" fontId="3" fillId="0" borderId="43" xfId="0" applyFont="1" applyBorder="1" applyProtection="1">
      <protection locked="0"/>
    </xf>
    <xf numFmtId="0" fontId="3" fillId="0" borderId="51" xfId="0" applyFont="1" applyBorder="1" applyAlignment="1" applyProtection="1">
      <alignment wrapText="1"/>
      <protection locked="0"/>
    </xf>
    <xf numFmtId="10" fontId="9" fillId="0" borderId="43" xfId="0" applyNumberFormat="1" applyFont="1" applyBorder="1" applyProtection="1">
      <protection locked="0"/>
    </xf>
    <xf numFmtId="0" fontId="4" fillId="0" borderId="32" xfId="0" applyFont="1" applyBorder="1" applyAlignment="1">
      <alignment vertical="top"/>
    </xf>
    <xf numFmtId="0" fontId="3" fillId="0" borderId="41" xfId="0" applyFont="1" applyBorder="1" applyAlignment="1" applyProtection="1">
      <alignment wrapText="1"/>
      <protection locked="0"/>
    </xf>
    <xf numFmtId="166" fontId="3" fillId="5" borderId="31" xfId="1" applyNumberFormat="1" applyFont="1" applyFill="1" applyBorder="1" applyProtection="1">
      <protection locked="0"/>
    </xf>
    <xf numFmtId="0" fontId="3" fillId="0" borderId="43" xfId="0" applyFont="1" applyBorder="1" applyAlignment="1" applyProtection="1">
      <alignment wrapText="1"/>
      <protection locked="0"/>
    </xf>
    <xf numFmtId="166" fontId="3" fillId="5" borderId="44" xfId="1" applyNumberFormat="1" applyFont="1" applyFill="1" applyBorder="1" applyProtection="1">
      <protection locked="0"/>
    </xf>
    <xf numFmtId="0" fontId="3" fillId="0" borderId="45" xfId="0" applyFont="1" applyBorder="1" applyAlignment="1" applyProtection="1">
      <alignment wrapText="1"/>
      <protection locked="0"/>
    </xf>
    <xf numFmtId="0" fontId="4" fillId="0" borderId="23" xfId="0" applyFont="1" applyBorder="1" applyAlignment="1">
      <alignment vertical="top"/>
    </xf>
    <xf numFmtId="10" fontId="4" fillId="3" borderId="14" xfId="0" applyNumberFormat="1" applyFont="1" applyFill="1" applyBorder="1"/>
    <xf numFmtId="10" fontId="4" fillId="3" borderId="14" xfId="2" applyNumberFormat="1" applyFont="1" applyFill="1" applyBorder="1" applyProtection="1"/>
    <xf numFmtId="3" fontId="4" fillId="3" borderId="14" xfId="0" applyNumberFormat="1" applyFont="1" applyFill="1" applyBorder="1"/>
    <xf numFmtId="3" fontId="4" fillId="0" borderId="15" xfId="0" applyNumberFormat="1" applyFont="1" applyBorder="1" applyAlignment="1">
      <alignment vertical="top"/>
    </xf>
    <xf numFmtId="0" fontId="3" fillId="0" borderId="24" xfId="0" applyFont="1" applyBorder="1" applyAlignment="1" applyProtection="1">
      <alignment wrapText="1"/>
      <protection locked="0"/>
    </xf>
    <xf numFmtId="0" fontId="3" fillId="3" borderId="47" xfId="0" applyFont="1" applyFill="1" applyBorder="1" applyAlignment="1">
      <alignment horizontal="left" vertical="top" wrapText="1"/>
    </xf>
    <xf numFmtId="0" fontId="3" fillId="0" borderId="59" xfId="0" applyFont="1" applyBorder="1" applyAlignment="1">
      <alignment horizontal="left" vertical="top"/>
    </xf>
    <xf numFmtId="10" fontId="9" fillId="0" borderId="45" xfId="0" applyNumberFormat="1" applyFont="1" applyBorder="1" applyProtection="1">
      <protection locked="0"/>
    </xf>
    <xf numFmtId="0" fontId="4" fillId="0" borderId="23" xfId="0" applyFont="1" applyBorder="1" applyAlignment="1">
      <alignment horizontal="left" vertical="top"/>
    </xf>
    <xf numFmtId="10" fontId="9" fillId="0" borderId="14" xfId="0" applyNumberFormat="1" applyFont="1" applyBorder="1" applyAlignment="1">
      <alignment horizontal="left" vertical="top" indent="1"/>
    </xf>
    <xf numFmtId="0" fontId="3" fillId="0" borderId="14" xfId="0" applyFont="1" applyBorder="1" applyAlignment="1">
      <alignment horizontal="left" indent="1"/>
    </xf>
    <xf numFmtId="166" fontId="3" fillId="0" borderId="14" xfId="1" applyNumberFormat="1" applyFont="1" applyBorder="1" applyProtection="1"/>
    <xf numFmtId="0" fontId="3" fillId="0" borderId="52" xfId="0" applyFont="1" applyBorder="1" applyAlignment="1" applyProtection="1">
      <alignment wrapText="1"/>
      <protection locked="0"/>
    </xf>
    <xf numFmtId="0" fontId="3" fillId="0" borderId="32" xfId="0" applyFont="1" applyBorder="1" applyAlignment="1">
      <alignment horizontal="left" vertical="top"/>
    </xf>
    <xf numFmtId="0" fontId="3" fillId="0" borderId="44" xfId="0" applyFont="1" applyBorder="1" applyAlignment="1">
      <alignment horizontal="left" vertical="top"/>
    </xf>
    <xf numFmtId="9" fontId="10" fillId="0" borderId="11" xfId="0" applyNumberFormat="1" applyFont="1" applyBorder="1" applyAlignment="1">
      <alignment horizontal="left" vertical="top" indent="1"/>
    </xf>
    <xf numFmtId="166" fontId="3" fillId="0" borderId="11" xfId="1" applyNumberFormat="1" applyFont="1" applyBorder="1" applyProtection="1"/>
    <xf numFmtId="3" fontId="3" fillId="0" borderId="33" xfId="0" applyNumberFormat="1" applyFont="1" applyBorder="1" applyAlignment="1">
      <alignment vertical="top"/>
    </xf>
    <xf numFmtId="0" fontId="4" fillId="4" borderId="18" xfId="0" applyFont="1" applyFill="1" applyBorder="1" applyAlignment="1">
      <alignment vertical="top"/>
    </xf>
    <xf numFmtId="0" fontId="11" fillId="4" borderId="60" xfId="0" applyFont="1" applyFill="1" applyBorder="1" applyAlignment="1">
      <alignment horizontal="left" vertical="top"/>
    </xf>
    <xf numFmtId="0" fontId="4" fillId="4" borderId="60" xfId="0" applyFont="1" applyFill="1" applyBorder="1" applyAlignment="1">
      <alignment horizontal="left"/>
    </xf>
    <xf numFmtId="3" fontId="4" fillId="4" borderId="60" xfId="0" applyNumberFormat="1" applyFont="1" applyFill="1" applyBorder="1"/>
    <xf numFmtId="3" fontId="4" fillId="4" borderId="19" xfId="0" applyNumberFormat="1" applyFont="1" applyFill="1" applyBorder="1" applyAlignment="1">
      <alignment vertical="top"/>
    </xf>
    <xf numFmtId="0" fontId="10" fillId="4" borderId="19" xfId="0" applyFont="1" applyFill="1" applyBorder="1" applyAlignment="1">
      <alignment horizontal="right" vertical="top"/>
    </xf>
    <xf numFmtId="0" fontId="3" fillId="4" borderId="20" xfId="0" applyFont="1" applyFill="1" applyBorder="1"/>
    <xf numFmtId="0" fontId="3" fillId="0" borderId="53" xfId="0" applyFont="1" applyBorder="1" applyAlignment="1">
      <alignment horizontal="left" vertical="top"/>
    </xf>
    <xf numFmtId="0" fontId="3" fillId="0" borderId="49" xfId="0" applyFont="1" applyBorder="1" applyAlignment="1">
      <alignment horizontal="left" indent="1"/>
    </xf>
    <xf numFmtId="3" fontId="3" fillId="0" borderId="49" xfId="0" applyNumberFormat="1" applyFont="1" applyBorder="1"/>
    <xf numFmtId="3" fontId="3" fillId="0" borderId="16" xfId="0" applyNumberFormat="1" applyFont="1" applyBorder="1" applyAlignment="1">
      <alignment vertical="top"/>
    </xf>
    <xf numFmtId="3" fontId="3" fillId="0" borderId="49" xfId="0" applyNumberFormat="1" applyFont="1" applyBorder="1" applyAlignment="1">
      <alignment vertical="top"/>
    </xf>
    <xf numFmtId="10" fontId="10" fillId="0" borderId="16" xfId="0" applyNumberFormat="1" applyFont="1" applyBorder="1" applyAlignment="1">
      <alignment horizontal="right" vertical="top"/>
    </xf>
    <xf numFmtId="0" fontId="3" fillId="0" borderId="48" xfId="0" applyFont="1" applyBorder="1" applyProtection="1">
      <protection locked="0"/>
    </xf>
    <xf numFmtId="0" fontId="3" fillId="3" borderId="44" xfId="0" applyFont="1" applyFill="1" applyBorder="1" applyAlignment="1">
      <alignment vertical="top"/>
    </xf>
    <xf numFmtId="0" fontId="3" fillId="3" borderId="11" xfId="0" applyFont="1" applyFill="1" applyBorder="1"/>
    <xf numFmtId="3" fontId="3" fillId="3" borderId="11" xfId="0" applyNumberFormat="1" applyFont="1" applyFill="1" applyBorder="1"/>
    <xf numFmtId="3" fontId="3" fillId="3" borderId="10" xfId="0" applyNumberFormat="1" applyFont="1" applyFill="1" applyBorder="1" applyAlignment="1">
      <alignment vertical="top"/>
    </xf>
    <xf numFmtId="10" fontId="10" fillId="0" borderId="12" xfId="0" applyNumberFormat="1" applyFont="1" applyBorder="1" applyAlignment="1">
      <alignment horizontal="right" vertical="top"/>
    </xf>
    <xf numFmtId="3" fontId="4" fillId="3" borderId="45" xfId="0" applyNumberFormat="1" applyFont="1" applyFill="1" applyBorder="1" applyAlignment="1" applyProtection="1">
      <alignment vertical="top"/>
      <protection locked="0"/>
    </xf>
    <xf numFmtId="166" fontId="15" fillId="0" borderId="2" xfId="1" applyNumberFormat="1" applyFont="1" applyBorder="1"/>
    <xf numFmtId="0" fontId="14" fillId="0" borderId="0" xfId="0" applyFont="1"/>
    <xf numFmtId="0" fontId="15" fillId="0" borderId="0" xfId="0" applyFont="1" applyAlignment="1">
      <alignment horizontal="center"/>
    </xf>
    <xf numFmtId="166" fontId="15" fillId="0" borderId="43" xfId="1" applyNumberFormat="1" applyFont="1" applyBorder="1"/>
    <xf numFmtId="166" fontId="15" fillId="0" borderId="10" xfId="1" applyNumberFormat="1" applyFont="1" applyBorder="1"/>
    <xf numFmtId="166" fontId="15" fillId="0" borderId="45" xfId="1" applyNumberFormat="1" applyFont="1" applyBorder="1"/>
    <xf numFmtId="4" fontId="6" fillId="0" borderId="2" xfId="0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right" inden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right" indent="1"/>
    </xf>
    <xf numFmtId="10" fontId="3" fillId="0" borderId="12" xfId="2" applyNumberFormat="1" applyFont="1" applyFill="1" applyBorder="1" applyAlignment="1" applyProtection="1">
      <alignment horizontal="right" vertical="top"/>
    </xf>
    <xf numFmtId="0" fontId="3" fillId="0" borderId="62" xfId="0" applyFont="1" applyBorder="1" applyProtection="1">
      <protection locked="0"/>
    </xf>
    <xf numFmtId="0" fontId="7" fillId="0" borderId="2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justify" vertical="center"/>
    </xf>
    <xf numFmtId="0" fontId="3" fillId="3" borderId="2" xfId="0" applyFont="1" applyFill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3" fillId="0" borderId="39" xfId="0" applyFont="1" applyBorder="1" applyAlignment="1">
      <alignment horizontal="left" vertical="center" wrapText="1" indent="1"/>
    </xf>
    <xf numFmtId="17" fontId="4" fillId="0" borderId="2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0" fontId="3" fillId="3" borderId="56" xfId="0" applyFont="1" applyFill="1" applyBorder="1" applyAlignment="1">
      <alignment horizontal="left" vertical="center" indent="1"/>
    </xf>
    <xf numFmtId="4" fontId="3" fillId="0" borderId="7" xfId="0" applyNumberFormat="1" applyFont="1" applyBorder="1" applyAlignment="1">
      <alignment horizontal="center"/>
    </xf>
    <xf numFmtId="4" fontId="6" fillId="0" borderId="7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4" fontId="20" fillId="0" borderId="2" xfId="0" applyNumberFormat="1" applyFont="1" applyBorder="1" applyAlignment="1">
      <alignment horizontal="center" vertical="top"/>
    </xf>
    <xf numFmtId="169" fontId="3" fillId="0" borderId="0" xfId="2" applyNumberFormat="1" applyFont="1"/>
    <xf numFmtId="0" fontId="10" fillId="0" borderId="0" xfId="0" applyFont="1"/>
    <xf numFmtId="9" fontId="10" fillId="0" borderId="0" xfId="2" applyFont="1"/>
    <xf numFmtId="0" fontId="10" fillId="0" borderId="0" xfId="0" applyFont="1" applyAlignment="1">
      <alignment horizontal="center" vertical="center"/>
    </xf>
    <xf numFmtId="10" fontId="10" fillId="0" borderId="0" xfId="0" applyNumberFormat="1" applyFont="1"/>
    <xf numFmtId="3" fontId="6" fillId="0" borderId="2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 wrapText="1"/>
    </xf>
    <xf numFmtId="9" fontId="3" fillId="5" borderId="0" xfId="0" applyNumberFormat="1" applyFont="1" applyFill="1" applyAlignment="1" applyProtection="1">
      <alignment horizontal="center" vertical="top"/>
      <protection locked="0"/>
    </xf>
    <xf numFmtId="0" fontId="3" fillId="5" borderId="0" xfId="0" applyFont="1" applyFill="1" applyProtection="1">
      <protection locked="0"/>
    </xf>
    <xf numFmtId="166" fontId="3" fillId="5" borderId="0" xfId="1" applyNumberFormat="1" applyFont="1" applyFill="1" applyBorder="1" applyProtection="1">
      <protection locked="0"/>
    </xf>
    <xf numFmtId="0" fontId="4" fillId="0" borderId="61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3" fillId="0" borderId="26" xfId="0" applyFont="1" applyBorder="1" applyAlignment="1" applyProtection="1">
      <alignment horizontal="center"/>
      <protection locked="0"/>
    </xf>
    <xf numFmtId="0" fontId="3" fillId="0" borderId="28" xfId="0" applyFont="1" applyBorder="1" applyAlignment="1" applyProtection="1">
      <alignment horizontal="center"/>
      <protection locked="0"/>
    </xf>
    <xf numFmtId="166" fontId="3" fillId="5" borderId="2" xfId="1" applyNumberFormat="1" applyFont="1" applyFill="1" applyBorder="1" applyAlignment="1" applyProtection="1">
      <alignment horizontal="left" vertical="center"/>
      <protection locked="0"/>
    </xf>
    <xf numFmtId="0" fontId="4" fillId="0" borderId="4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11" fillId="2" borderId="54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right" vertical="center"/>
    </xf>
    <xf numFmtId="0" fontId="4" fillId="3" borderId="50" xfId="0" applyFont="1" applyFill="1" applyBorder="1" applyAlignment="1">
      <alignment horizontal="right" vertical="center"/>
    </xf>
    <xf numFmtId="0" fontId="4" fillId="3" borderId="46" xfId="0" applyFont="1" applyFill="1" applyBorder="1" applyAlignment="1">
      <alignment horizontal="right" vertical="center"/>
    </xf>
    <xf numFmtId="0" fontId="4" fillId="2" borderId="6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left" wrapText="1"/>
    </xf>
    <xf numFmtId="0" fontId="15" fillId="0" borderId="16" xfId="0" applyFont="1" applyBorder="1" applyAlignment="1">
      <alignment horizontal="left" wrapText="1"/>
    </xf>
    <xf numFmtId="0" fontId="15" fillId="0" borderId="16" xfId="0" applyFont="1" applyBorder="1" applyAlignment="1">
      <alignment horizontal="left"/>
    </xf>
    <xf numFmtId="0" fontId="15" fillId="0" borderId="48" xfId="0" applyFont="1" applyBorder="1" applyAlignment="1">
      <alignment horizontal="left"/>
    </xf>
    <xf numFmtId="0" fontId="15" fillId="0" borderId="44" xfId="0" applyFont="1" applyBorder="1" applyAlignment="1">
      <alignment horizontal="left" wrapText="1"/>
    </xf>
    <xf numFmtId="0" fontId="15" fillId="0" borderId="10" xfId="0" applyFont="1" applyBorder="1" applyAlignment="1">
      <alignment horizontal="left" wrapText="1"/>
    </xf>
    <xf numFmtId="0" fontId="15" fillId="0" borderId="10" xfId="0" applyFont="1" applyBorder="1" applyAlignment="1">
      <alignment horizontal="left"/>
    </xf>
    <xf numFmtId="0" fontId="15" fillId="0" borderId="45" xfId="0" applyFont="1" applyBorder="1" applyAlignment="1">
      <alignment horizontal="left"/>
    </xf>
    <xf numFmtId="0" fontId="15" fillId="0" borderId="0" xfId="0" applyFont="1" applyAlignment="1">
      <alignment horizontal="left" wrapText="1"/>
    </xf>
  </cellXfs>
  <cellStyles count="6">
    <cellStyle name="Обычный" xfId="0" builtinId="0"/>
    <cellStyle name="Обычный 5" xfId="3" xr:uid="{00000000-0005-0000-0000-000001000000}"/>
    <cellStyle name="Процентный" xfId="2" builtinId="5"/>
    <cellStyle name="Процентный 3" xfId="4" xr:uid="{00000000-0005-0000-0000-000003000000}"/>
    <cellStyle name="Финансовый" xfId="1" builtinId="3"/>
    <cellStyle name="Финансовый 2" xfId="5" xr:uid="{00000000-0005-0000-0000-000005000000}"/>
  </cellStyles>
  <dxfs count="7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C23"/>
  <sheetViews>
    <sheetView topLeftCell="A8" zoomScale="90" zoomScaleNormal="90" workbookViewId="0">
      <selection activeCell="B16" sqref="B16"/>
    </sheetView>
  </sheetViews>
  <sheetFormatPr defaultColWidth="8.7109375" defaultRowHeight="15.75" x14ac:dyDescent="0.25"/>
  <cols>
    <col min="1" max="1" width="4.28515625" style="4" customWidth="1"/>
    <col min="2" max="2" width="153.140625" style="1" customWidth="1"/>
    <col min="3" max="3" width="25.42578125" style="1" customWidth="1"/>
    <col min="4" max="16384" width="8.7109375" style="1"/>
  </cols>
  <sheetData>
    <row r="1" spans="1:3" x14ac:dyDescent="0.25">
      <c r="B1" s="2" t="s">
        <v>219</v>
      </c>
    </row>
    <row r="2" spans="1:3" ht="33" customHeight="1" x14ac:dyDescent="0.25">
      <c r="A2" s="15">
        <v>1</v>
      </c>
      <c r="B2" s="269" t="s">
        <v>291</v>
      </c>
    </row>
    <row r="3" spans="1:3" ht="32.65" customHeight="1" x14ac:dyDescent="0.25">
      <c r="A3" s="15">
        <v>2</v>
      </c>
      <c r="B3" s="270" t="s">
        <v>220</v>
      </c>
    </row>
    <row r="4" spans="1:3" ht="32.65" customHeight="1" x14ac:dyDescent="0.25">
      <c r="A4" s="15">
        <v>3</v>
      </c>
      <c r="B4" s="270" t="s">
        <v>221</v>
      </c>
    </row>
    <row r="5" spans="1:3" ht="33" customHeight="1" x14ac:dyDescent="0.25">
      <c r="A5" s="15">
        <v>4</v>
      </c>
      <c r="B5" s="270" t="s">
        <v>61</v>
      </c>
    </row>
    <row r="6" spans="1:3" ht="20.25" customHeight="1" x14ac:dyDescent="0.25">
      <c r="A6" s="15">
        <v>5</v>
      </c>
      <c r="B6" s="270" t="s">
        <v>55</v>
      </c>
    </row>
    <row r="7" spans="1:3" ht="31.5" x14ac:dyDescent="0.25">
      <c r="A7" s="15">
        <v>6</v>
      </c>
      <c r="B7" s="270" t="s">
        <v>316</v>
      </c>
    </row>
    <row r="8" spans="1:3" ht="47.25" x14ac:dyDescent="0.25">
      <c r="A8" s="15">
        <v>7</v>
      </c>
      <c r="B8" s="271" t="s">
        <v>293</v>
      </c>
    </row>
    <row r="9" spans="1:3" ht="31.5" x14ac:dyDescent="0.25">
      <c r="A9" s="15">
        <v>8</v>
      </c>
      <c r="B9" s="271" t="s">
        <v>294</v>
      </c>
    </row>
    <row r="10" spans="1:3" ht="47.25" x14ac:dyDescent="0.25">
      <c r="A10" s="15">
        <v>9</v>
      </c>
      <c r="B10" s="271" t="s">
        <v>295</v>
      </c>
    </row>
    <row r="11" spans="1:3" ht="78.75" customHeight="1" x14ac:dyDescent="0.25">
      <c r="A11" s="15">
        <v>10</v>
      </c>
      <c r="B11" s="272" t="s">
        <v>296</v>
      </c>
      <c r="C11" s="3"/>
    </row>
    <row r="12" spans="1:3" ht="51.75" customHeight="1" x14ac:dyDescent="0.25">
      <c r="A12" s="15">
        <v>11</v>
      </c>
      <c r="B12" s="273" t="s">
        <v>297</v>
      </c>
      <c r="C12" s="3"/>
    </row>
    <row r="13" spans="1:3" ht="17.25" customHeight="1" x14ac:dyDescent="0.25">
      <c r="A13" s="5"/>
      <c r="B13" s="3"/>
    </row>
    <row r="14" spans="1:3" ht="17.25" customHeight="1" x14ac:dyDescent="0.25">
      <c r="A14" s="5"/>
      <c r="B14" s="3"/>
    </row>
    <row r="15" spans="1:3" ht="19.149999999999999" customHeight="1" x14ac:dyDescent="0.25">
      <c r="A15" s="5"/>
      <c r="B15" s="6" t="s">
        <v>222</v>
      </c>
    </row>
    <row r="16" spans="1:3" ht="186" customHeight="1" x14ac:dyDescent="0.25">
      <c r="A16" s="15">
        <v>1</v>
      </c>
      <c r="B16" s="282" t="s">
        <v>326</v>
      </c>
    </row>
    <row r="17" spans="1:2" ht="276.95" customHeight="1" x14ac:dyDescent="0.25">
      <c r="A17" s="15">
        <v>2</v>
      </c>
      <c r="B17" s="270" t="s">
        <v>261</v>
      </c>
    </row>
    <row r="18" spans="1:2" ht="46.15" customHeight="1" x14ac:dyDescent="0.25">
      <c r="A18" s="15">
        <v>3</v>
      </c>
      <c r="B18" s="270" t="s">
        <v>224</v>
      </c>
    </row>
    <row r="19" spans="1:2" ht="47.25" x14ac:dyDescent="0.25">
      <c r="A19" s="15">
        <v>4</v>
      </c>
      <c r="B19" s="270" t="s">
        <v>56</v>
      </c>
    </row>
    <row r="20" spans="1:2" x14ac:dyDescent="0.25">
      <c r="A20" s="15">
        <v>5</v>
      </c>
      <c r="B20" s="270" t="s">
        <v>37</v>
      </c>
    </row>
    <row r="21" spans="1:2" ht="31.5" x14ac:dyDescent="0.25">
      <c r="A21" s="15">
        <v>6</v>
      </c>
      <c r="B21" s="270" t="s">
        <v>38</v>
      </c>
    </row>
    <row r="22" spans="1:2" ht="47.25" x14ac:dyDescent="0.25">
      <c r="A22" s="15">
        <v>7</v>
      </c>
      <c r="B22" s="270" t="s">
        <v>298</v>
      </c>
    </row>
    <row r="23" spans="1:2" ht="31.5" x14ac:dyDescent="0.25">
      <c r="A23" s="7">
        <v>8</v>
      </c>
      <c r="B23" s="274" t="s">
        <v>292</v>
      </c>
    </row>
  </sheetData>
  <sheetProtection algorithmName="SHA-512" hashValue="kcpyyY5dfa/igp4m077Jm1LCJrM6j4FOeFxrRDQbxkEXiS97lNLnzeMokwAwXO2v5X015Zu50EuGatdbgEOL+w==" saltValue="dU+/Kar2vbPC2Febm/26zA==" spinCount="100000" sheet="1"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/>
  <dimension ref="A1:AE181"/>
  <sheetViews>
    <sheetView tabSelected="1" topLeftCell="B1" zoomScale="80" zoomScaleNormal="80" workbookViewId="0">
      <pane xSplit="2" ySplit="4" topLeftCell="D5" activePane="bottomRight" state="frozen"/>
      <selection activeCell="B1" sqref="B1"/>
      <selection pane="topRight" activeCell="D1" sqref="D1"/>
      <selection pane="bottomLeft" activeCell="B3" sqref="B3"/>
      <selection pane="bottomRight" activeCell="D10" sqref="D10"/>
    </sheetView>
  </sheetViews>
  <sheetFormatPr defaultColWidth="8.7109375" defaultRowHeight="15.75" x14ac:dyDescent="0.25"/>
  <cols>
    <col min="1" max="1" width="4.7109375" style="4" hidden="1" customWidth="1"/>
    <col min="2" max="2" width="10.7109375" style="4" customWidth="1"/>
    <col min="3" max="3" width="46.7109375" style="1" customWidth="1"/>
    <col min="4" max="4" width="17.42578125" style="1" bestFit="1" customWidth="1"/>
    <col min="5" max="8" width="17.28515625" style="1" customWidth="1"/>
    <col min="9" max="9" width="4.28515625" style="1" customWidth="1"/>
    <col min="10" max="10" width="8.7109375" style="1" hidden="1" customWidth="1"/>
    <col min="11" max="11" width="46.42578125" style="1" hidden="1" customWidth="1"/>
    <col min="12" max="13" width="14.28515625" style="1" bestFit="1" customWidth="1"/>
    <col min="14" max="16" width="23.28515625" style="1" customWidth="1"/>
    <col min="17" max="17" width="4.42578125" style="1" customWidth="1"/>
    <col min="18" max="19" width="19.7109375" style="1" customWidth="1"/>
    <col min="20" max="20" width="4.42578125" style="1" customWidth="1"/>
    <col min="21" max="21" width="46.42578125" style="1" hidden="1" customWidth="1"/>
    <col min="22" max="22" width="7.7109375" style="1" hidden="1" customWidth="1"/>
    <col min="23" max="24" width="19.7109375" style="1" customWidth="1"/>
    <col min="25" max="28" width="8.7109375" style="1"/>
    <col min="29" max="31" width="8.7109375" style="1" hidden="1" customWidth="1"/>
    <col min="32" max="16384" width="8.7109375" style="1"/>
  </cols>
  <sheetData>
    <row r="1" spans="1:31" ht="46.15" customHeight="1" x14ac:dyDescent="0.25">
      <c r="B1" s="294" t="s">
        <v>317</v>
      </c>
      <c r="C1" s="295"/>
      <c r="D1" s="295"/>
      <c r="E1" s="295"/>
      <c r="F1" s="295"/>
      <c r="G1" s="295"/>
      <c r="H1" s="296"/>
      <c r="L1" s="297" t="s">
        <v>327</v>
      </c>
      <c r="M1" s="298"/>
      <c r="N1" s="298"/>
      <c r="O1" s="298"/>
      <c r="P1" s="299"/>
      <c r="R1" s="300" t="s">
        <v>310</v>
      </c>
      <c r="S1" s="300"/>
      <c r="W1" s="300" t="s">
        <v>311</v>
      </c>
      <c r="X1" s="300"/>
      <c r="AA1" s="285"/>
      <c r="AB1" s="285"/>
      <c r="AC1" s="285"/>
      <c r="AD1" s="285"/>
      <c r="AE1" s="285"/>
    </row>
    <row r="2" spans="1:31" ht="24" customHeight="1" x14ac:dyDescent="0.25">
      <c r="B2" s="300" t="s">
        <v>153</v>
      </c>
      <c r="C2" s="301" t="s">
        <v>131</v>
      </c>
      <c r="D2" s="302" t="s">
        <v>313</v>
      </c>
      <c r="E2" s="301" t="s">
        <v>247</v>
      </c>
      <c r="F2" s="301"/>
      <c r="G2" s="300" t="s">
        <v>246</v>
      </c>
      <c r="H2" s="300"/>
      <c r="L2" s="302" t="s">
        <v>248</v>
      </c>
      <c r="M2" s="302" t="s">
        <v>249</v>
      </c>
      <c r="N2" s="302" t="s">
        <v>302</v>
      </c>
      <c r="O2" s="303" t="s">
        <v>303</v>
      </c>
      <c r="P2" s="303" t="s">
        <v>304</v>
      </c>
      <c r="R2" s="302" t="s">
        <v>245</v>
      </c>
      <c r="S2" s="302" t="s">
        <v>244</v>
      </c>
      <c r="W2" s="302" t="s">
        <v>233</v>
      </c>
      <c r="X2" s="302" t="s">
        <v>270</v>
      </c>
      <c r="AA2" s="285"/>
      <c r="AB2" s="285"/>
      <c r="AC2" s="286">
        <v>0.05</v>
      </c>
      <c r="AD2" s="288">
        <f>AC2/AE2</f>
        <v>5.2631578947368425E-2</v>
      </c>
      <c r="AE2" s="288">
        <f>100%-AC2</f>
        <v>0.95</v>
      </c>
    </row>
    <row r="3" spans="1:31" s="4" customFormat="1" ht="24" customHeight="1" x14ac:dyDescent="0.25">
      <c r="B3" s="300"/>
      <c r="C3" s="301"/>
      <c r="D3" s="302"/>
      <c r="E3" s="301"/>
      <c r="F3" s="301"/>
      <c r="G3" s="300"/>
      <c r="H3" s="300"/>
      <c r="I3" s="1"/>
      <c r="J3" s="1"/>
      <c r="K3" s="1"/>
      <c r="L3" s="302"/>
      <c r="M3" s="302"/>
      <c r="N3" s="302"/>
      <c r="O3" s="303"/>
      <c r="P3" s="303"/>
      <c r="R3" s="302"/>
      <c r="S3" s="302"/>
      <c r="W3" s="302"/>
      <c r="X3" s="302"/>
      <c r="AA3" s="287"/>
      <c r="AB3" s="287"/>
      <c r="AC3" s="286">
        <v>7.0000000000000007E-2</v>
      </c>
      <c r="AD3" s="288">
        <f t="shared" ref="AD3:AD4" si="0">AC3/AE3</f>
        <v>7.5268817204301092E-2</v>
      </c>
      <c r="AE3" s="288">
        <f t="shared" ref="AE3:AE4" si="1">100%-AC3</f>
        <v>0.92999999999999994</v>
      </c>
    </row>
    <row r="4" spans="1:31" ht="21" customHeight="1" x14ac:dyDescent="0.25">
      <c r="A4" s="151"/>
      <c r="B4" s="300"/>
      <c r="C4" s="301"/>
      <c r="D4" s="302"/>
      <c r="E4" s="276" t="s">
        <v>250</v>
      </c>
      <c r="F4" s="276" t="s">
        <v>251</v>
      </c>
      <c r="G4" s="276" t="s">
        <v>245</v>
      </c>
      <c r="H4" s="276" t="s">
        <v>244</v>
      </c>
      <c r="L4" s="302"/>
      <c r="M4" s="302"/>
      <c r="N4" s="302"/>
      <c r="O4" s="303"/>
      <c r="P4" s="303"/>
      <c r="R4" s="302"/>
      <c r="S4" s="302"/>
      <c r="W4" s="302"/>
      <c r="X4" s="302"/>
      <c r="AA4" s="285"/>
      <c r="AB4" s="285"/>
      <c r="AC4" s="286">
        <v>0.22</v>
      </c>
      <c r="AD4" s="288">
        <f t="shared" si="0"/>
        <v>0.28205128205128205</v>
      </c>
      <c r="AE4" s="288">
        <f t="shared" si="1"/>
        <v>0.78</v>
      </c>
    </row>
    <row r="5" spans="1:31" x14ac:dyDescent="0.25">
      <c r="A5" s="7">
        <v>1</v>
      </c>
      <c r="B5" s="277" t="s">
        <v>154</v>
      </c>
      <c r="C5" s="278" t="s">
        <v>149</v>
      </c>
      <c r="D5" s="283">
        <v>38392.400000000001</v>
      </c>
      <c r="E5" s="279">
        <f t="shared" ref="E5:E36" si="2">D5*0.8</f>
        <v>30713.920000000002</v>
      </c>
      <c r="F5" s="279">
        <f>E5/246</f>
        <v>124.85333333333334</v>
      </c>
      <c r="G5" s="279">
        <f>F5*1.305</f>
        <v>162.93360000000001</v>
      </c>
      <c r="H5" s="279">
        <f>IF(F5&gt;$M$5,$M$5*1.305+(F5-$M$5)*1.155,F5*1.305)</f>
        <v>162.93360000000001</v>
      </c>
      <c r="K5" s="1" t="str">
        <f t="shared" ref="K5:K36" si="3">CONCATENATE(B5," ",C5)</f>
        <v xml:space="preserve">01 Республика Адыгея </v>
      </c>
      <c r="L5" s="289">
        <v>27093</v>
      </c>
      <c r="M5" s="281">
        <f>L5/164</f>
        <v>165.20121951219511</v>
      </c>
      <c r="N5" s="279">
        <f t="shared" ref="N5:N68" si="4">((M5/29.3*28*100%/12)+M5)*1.305+M5*164*24/730*3/12/164</f>
        <v>234.11393234811831</v>
      </c>
      <c r="O5" s="280">
        <f>($L5/29.3*28/12)+$L5+$L5*24/730*3/12</f>
        <v>29473.258983589698</v>
      </c>
      <c r="P5" s="281">
        <f>($M5/29.3*28/12)+$M5+$M5*24/730*3/12</f>
        <v>179.7149938023762</v>
      </c>
      <c r="R5" s="9">
        <f t="shared" ref="R5" si="5">IF(N5&gt;G5,N5,G5)</f>
        <v>234.11393234811831</v>
      </c>
      <c r="S5" s="9">
        <f t="shared" ref="S5" si="6">IF(N5&gt;H5,N5,H5)</f>
        <v>234.11393234811831</v>
      </c>
      <c r="U5" s="1" t="s">
        <v>188</v>
      </c>
      <c r="V5" s="1" t="s">
        <v>244</v>
      </c>
      <c r="W5" s="9">
        <f>IF(O5&gt;E5,O5,E5)</f>
        <v>30713.920000000002</v>
      </c>
      <c r="X5" s="9">
        <f>IF(P5&gt;F5,P5,F5)</f>
        <v>179.7149938023762</v>
      </c>
    </row>
    <row r="6" spans="1:31" x14ac:dyDescent="0.25">
      <c r="A6" s="7">
        <v>2</v>
      </c>
      <c r="B6" s="8" t="s">
        <v>155</v>
      </c>
      <c r="C6" s="16" t="s">
        <v>98</v>
      </c>
      <c r="D6" s="283">
        <v>43074.9</v>
      </c>
      <c r="E6" s="9">
        <f t="shared" si="2"/>
        <v>34459.920000000006</v>
      </c>
      <c r="F6" s="9">
        <f t="shared" ref="F6:F69" si="7">E6/246</f>
        <v>140.08097560975611</v>
      </c>
      <c r="G6" s="9">
        <f t="shared" ref="G6:G69" si="8">F6*1.305</f>
        <v>182.80567317073172</v>
      </c>
      <c r="H6" s="9">
        <f t="shared" ref="H6:H69" si="9">IF(F6&gt;$M$5,$M$5*1.305+(F6-$M$5)*1.155,F6*1.305)</f>
        <v>182.80567317073172</v>
      </c>
      <c r="K6" s="1" t="str">
        <f t="shared" si="3"/>
        <v>02 Республика Башкортостан</v>
      </c>
      <c r="L6" s="289">
        <v>32932</v>
      </c>
      <c r="M6" s="10">
        <f t="shared" ref="M6:M69" si="10">L6/164</f>
        <v>200.80487804878049</v>
      </c>
      <c r="N6" s="9">
        <f t="shared" si="4"/>
        <v>284.56944672381172</v>
      </c>
      <c r="O6" s="261">
        <f t="shared" ref="O6:O69" si="11">($L6/29.3*28/12)+$L6+$L6*24/730*3/12</f>
        <v>35825.245076129475</v>
      </c>
      <c r="P6" s="10">
        <f t="shared" ref="P6:P69" si="12">($M6/29.3*28/12)+$M6+$M6*24/730*3/12</f>
        <v>218.44661631786266</v>
      </c>
      <c r="R6" s="9">
        <f t="shared" ref="R6:R69" si="13">IF(N6&gt;G6,N6,G6)</f>
        <v>284.56944672381172</v>
      </c>
      <c r="S6" s="9">
        <f t="shared" ref="S6:S69" si="14">IF(N6&gt;H6,N6,H6)</f>
        <v>284.56944672381172</v>
      </c>
      <c r="U6" s="1" t="s">
        <v>189</v>
      </c>
      <c r="V6" s="1" t="s">
        <v>245</v>
      </c>
      <c r="W6" s="9">
        <f t="shared" ref="W6:W69" si="15">IF(O6&gt;E6,O6,E6)</f>
        <v>35825.245076129475</v>
      </c>
      <c r="X6" s="9">
        <f t="shared" ref="X6:X69" si="16">IF(P6&gt;F6,P6,F6)</f>
        <v>218.44661631786266</v>
      </c>
    </row>
    <row r="7" spans="1:31" x14ac:dyDescent="0.25">
      <c r="A7" s="7">
        <v>3</v>
      </c>
      <c r="B7" s="8" t="s">
        <v>156</v>
      </c>
      <c r="C7" s="16" t="s">
        <v>122</v>
      </c>
      <c r="D7" s="283">
        <v>59757.3</v>
      </c>
      <c r="E7" s="9">
        <f t="shared" si="2"/>
        <v>47805.840000000004</v>
      </c>
      <c r="F7" s="9">
        <f t="shared" si="7"/>
        <v>194.33268292682928</v>
      </c>
      <c r="G7" s="9">
        <f t="shared" si="8"/>
        <v>253.6041512195122</v>
      </c>
      <c r="H7" s="9">
        <f t="shared" si="9"/>
        <v>249.23443170731707</v>
      </c>
      <c r="K7" s="1" t="str">
        <f t="shared" si="3"/>
        <v>03 Республика Бурятия</v>
      </c>
      <c r="L7" s="289">
        <v>27093</v>
      </c>
      <c r="M7" s="10">
        <f t="shared" si="10"/>
        <v>165.20121951219511</v>
      </c>
      <c r="N7" s="9">
        <f t="shared" si="4"/>
        <v>234.11393234811831</v>
      </c>
      <c r="O7" s="261">
        <f t="shared" si="11"/>
        <v>29473.258983589698</v>
      </c>
      <c r="P7" s="10">
        <f t="shared" si="12"/>
        <v>179.7149938023762</v>
      </c>
      <c r="R7" s="9">
        <f t="shared" si="13"/>
        <v>253.6041512195122</v>
      </c>
      <c r="S7" s="9">
        <f t="shared" si="14"/>
        <v>249.23443170731707</v>
      </c>
      <c r="U7" s="1" t="s">
        <v>190</v>
      </c>
      <c r="W7" s="9">
        <f t="shared" si="15"/>
        <v>47805.840000000004</v>
      </c>
      <c r="X7" s="9">
        <f t="shared" si="16"/>
        <v>194.33268292682928</v>
      </c>
    </row>
    <row r="8" spans="1:31" x14ac:dyDescent="0.25">
      <c r="A8" s="7">
        <v>4</v>
      </c>
      <c r="B8" s="8" t="s">
        <v>157</v>
      </c>
      <c r="C8" s="16" t="s">
        <v>113</v>
      </c>
      <c r="D8" s="283">
        <v>41709.599999999999</v>
      </c>
      <c r="E8" s="9">
        <f t="shared" si="2"/>
        <v>33367.68</v>
      </c>
      <c r="F8" s="9">
        <f t="shared" si="7"/>
        <v>135.64097560975611</v>
      </c>
      <c r="G8" s="9">
        <f t="shared" si="8"/>
        <v>177.0114731707317</v>
      </c>
      <c r="H8" s="9">
        <f t="shared" si="9"/>
        <v>177.0114731707317</v>
      </c>
      <c r="K8" s="1" t="str">
        <f t="shared" si="3"/>
        <v>04 Республика Алтай</v>
      </c>
      <c r="L8" s="289">
        <v>27093</v>
      </c>
      <c r="M8" s="10">
        <f t="shared" si="10"/>
        <v>165.20121951219511</v>
      </c>
      <c r="N8" s="9">
        <f t="shared" si="4"/>
        <v>234.11393234811831</v>
      </c>
      <c r="O8" s="261">
        <f t="shared" si="11"/>
        <v>29473.258983589698</v>
      </c>
      <c r="P8" s="10">
        <f t="shared" si="12"/>
        <v>179.7149938023762</v>
      </c>
      <c r="R8" s="9">
        <f t="shared" si="13"/>
        <v>234.11393234811831</v>
      </c>
      <c r="S8" s="9">
        <f t="shared" si="14"/>
        <v>234.11393234811831</v>
      </c>
      <c r="U8" s="1" t="s">
        <v>191</v>
      </c>
      <c r="W8" s="9">
        <f t="shared" si="15"/>
        <v>33367.68</v>
      </c>
      <c r="X8" s="9">
        <f t="shared" si="16"/>
        <v>179.7149938023762</v>
      </c>
    </row>
    <row r="9" spans="1:31" x14ac:dyDescent="0.25">
      <c r="A9" s="7">
        <v>5</v>
      </c>
      <c r="B9" s="8" t="s">
        <v>158</v>
      </c>
      <c r="C9" s="16" t="s">
        <v>137</v>
      </c>
      <c r="D9" s="283">
        <v>31922.5</v>
      </c>
      <c r="E9" s="9">
        <f t="shared" si="2"/>
        <v>25538</v>
      </c>
      <c r="F9" s="9">
        <f t="shared" si="7"/>
        <v>103.8130081300813</v>
      </c>
      <c r="G9" s="9">
        <f t="shared" si="8"/>
        <v>135.47597560975609</v>
      </c>
      <c r="H9" s="9">
        <f t="shared" si="9"/>
        <v>135.47597560975609</v>
      </c>
      <c r="K9" s="1" t="str">
        <f t="shared" si="3"/>
        <v>05 Республика Дагестан</v>
      </c>
      <c r="L9" s="289">
        <v>27093</v>
      </c>
      <c r="M9" s="10">
        <f t="shared" si="10"/>
        <v>165.20121951219511</v>
      </c>
      <c r="N9" s="9">
        <f t="shared" si="4"/>
        <v>234.11393234811831</v>
      </c>
      <c r="O9" s="261">
        <f t="shared" si="11"/>
        <v>29473.258983589698</v>
      </c>
      <c r="P9" s="10">
        <f t="shared" si="12"/>
        <v>179.7149938023762</v>
      </c>
      <c r="R9" s="9">
        <f t="shared" si="13"/>
        <v>234.11393234811831</v>
      </c>
      <c r="S9" s="9">
        <f t="shared" si="14"/>
        <v>234.11393234811831</v>
      </c>
      <c r="U9" s="1" t="s">
        <v>192</v>
      </c>
      <c r="W9" s="9">
        <f t="shared" si="15"/>
        <v>29473.258983589698</v>
      </c>
      <c r="X9" s="9">
        <f t="shared" si="16"/>
        <v>179.7149938023762</v>
      </c>
    </row>
    <row r="10" spans="1:31" x14ac:dyDescent="0.25">
      <c r="A10" s="7">
        <v>6</v>
      </c>
      <c r="B10" s="8" t="s">
        <v>159</v>
      </c>
      <c r="C10" s="16" t="s">
        <v>138</v>
      </c>
      <c r="D10" s="283">
        <v>25278.6</v>
      </c>
      <c r="E10" s="9">
        <f t="shared" si="2"/>
        <v>20222.88</v>
      </c>
      <c r="F10" s="9">
        <f t="shared" si="7"/>
        <v>82.206829268292694</v>
      </c>
      <c r="G10" s="9">
        <f t="shared" si="8"/>
        <v>107.27991219512197</v>
      </c>
      <c r="H10" s="9">
        <f t="shared" si="9"/>
        <v>107.27991219512197</v>
      </c>
      <c r="K10" s="1" t="str">
        <f t="shared" si="3"/>
        <v>06 Республика Ингушетия</v>
      </c>
      <c r="L10" s="289">
        <v>27093</v>
      </c>
      <c r="M10" s="10">
        <f t="shared" si="10"/>
        <v>165.20121951219511</v>
      </c>
      <c r="N10" s="9">
        <f t="shared" si="4"/>
        <v>234.11393234811831</v>
      </c>
      <c r="O10" s="261">
        <f t="shared" si="11"/>
        <v>29473.258983589698</v>
      </c>
      <c r="P10" s="10">
        <f t="shared" si="12"/>
        <v>179.7149938023762</v>
      </c>
      <c r="R10" s="9">
        <f t="shared" si="13"/>
        <v>234.11393234811831</v>
      </c>
      <c r="S10" s="9">
        <f t="shared" si="14"/>
        <v>234.11393234811831</v>
      </c>
      <c r="U10" s="1" t="s">
        <v>193</v>
      </c>
      <c r="W10" s="9">
        <f t="shared" si="15"/>
        <v>29473.258983589698</v>
      </c>
      <c r="X10" s="9">
        <f t="shared" si="16"/>
        <v>179.7149938023762</v>
      </c>
    </row>
    <row r="11" spans="1:31" x14ac:dyDescent="0.25">
      <c r="A11" s="7">
        <v>7</v>
      </c>
      <c r="B11" s="8" t="s">
        <v>160</v>
      </c>
      <c r="C11" s="16" t="s">
        <v>139</v>
      </c>
      <c r="D11" s="283">
        <v>41726.400000000001</v>
      </c>
      <c r="E11" s="9">
        <f t="shared" si="2"/>
        <v>33381.120000000003</v>
      </c>
      <c r="F11" s="9">
        <f t="shared" si="7"/>
        <v>135.69560975609758</v>
      </c>
      <c r="G11" s="9">
        <f t="shared" si="8"/>
        <v>177.08277073170734</v>
      </c>
      <c r="H11" s="9">
        <f t="shared" si="9"/>
        <v>177.08277073170734</v>
      </c>
      <c r="K11" s="1" t="str">
        <f t="shared" si="3"/>
        <v>07 Кабардино-Балкарская Республика</v>
      </c>
      <c r="L11" s="289">
        <v>27093</v>
      </c>
      <c r="M11" s="10">
        <f t="shared" si="10"/>
        <v>165.20121951219511</v>
      </c>
      <c r="N11" s="9">
        <f t="shared" si="4"/>
        <v>234.11393234811831</v>
      </c>
      <c r="O11" s="261">
        <f t="shared" si="11"/>
        <v>29473.258983589698</v>
      </c>
      <c r="P11" s="10">
        <f t="shared" si="12"/>
        <v>179.7149938023762</v>
      </c>
      <c r="R11" s="9">
        <f t="shared" si="13"/>
        <v>234.11393234811831</v>
      </c>
      <c r="S11" s="9">
        <f t="shared" si="14"/>
        <v>234.11393234811831</v>
      </c>
      <c r="U11" s="1" t="s">
        <v>194</v>
      </c>
      <c r="W11" s="9">
        <f t="shared" si="15"/>
        <v>33381.120000000003</v>
      </c>
      <c r="X11" s="9">
        <f t="shared" si="16"/>
        <v>179.7149938023762</v>
      </c>
    </row>
    <row r="12" spans="1:31" x14ac:dyDescent="0.25">
      <c r="A12" s="7">
        <v>8</v>
      </c>
      <c r="B12" s="8" t="s">
        <v>161</v>
      </c>
      <c r="C12" s="16" t="s">
        <v>92</v>
      </c>
      <c r="D12" s="283">
        <v>33907.1</v>
      </c>
      <c r="E12" s="9">
        <f t="shared" si="2"/>
        <v>27125.68</v>
      </c>
      <c r="F12" s="9">
        <f t="shared" si="7"/>
        <v>110.2669918699187</v>
      </c>
      <c r="G12" s="9">
        <f t="shared" si="8"/>
        <v>143.89842439024389</v>
      </c>
      <c r="H12" s="9">
        <f t="shared" si="9"/>
        <v>143.89842439024389</v>
      </c>
      <c r="K12" s="1" t="str">
        <f t="shared" si="3"/>
        <v>08 Республика Калмыкия</v>
      </c>
      <c r="L12" s="289">
        <v>27093</v>
      </c>
      <c r="M12" s="10">
        <f t="shared" si="10"/>
        <v>165.20121951219511</v>
      </c>
      <c r="N12" s="9">
        <f t="shared" si="4"/>
        <v>234.11393234811831</v>
      </c>
      <c r="O12" s="261">
        <f t="shared" si="11"/>
        <v>29473.258983589698</v>
      </c>
      <c r="P12" s="10">
        <f t="shared" si="12"/>
        <v>179.7149938023762</v>
      </c>
      <c r="R12" s="9">
        <f t="shared" si="13"/>
        <v>234.11393234811831</v>
      </c>
      <c r="S12" s="9">
        <f t="shared" si="14"/>
        <v>234.11393234811831</v>
      </c>
      <c r="U12" s="1" t="s">
        <v>195</v>
      </c>
      <c r="W12" s="9">
        <f t="shared" si="15"/>
        <v>29473.258983589698</v>
      </c>
      <c r="X12" s="9">
        <f t="shared" si="16"/>
        <v>179.7149938023762</v>
      </c>
    </row>
    <row r="13" spans="1:31" x14ac:dyDescent="0.25">
      <c r="A13" s="7">
        <v>9</v>
      </c>
      <c r="B13" s="8" t="s">
        <v>162</v>
      </c>
      <c r="C13" s="16" t="s">
        <v>140</v>
      </c>
      <c r="D13" s="283">
        <v>31952.799999999999</v>
      </c>
      <c r="E13" s="9">
        <f t="shared" si="2"/>
        <v>25562.240000000002</v>
      </c>
      <c r="F13" s="9">
        <f t="shared" si="7"/>
        <v>103.91154471544716</v>
      </c>
      <c r="G13" s="9">
        <f t="shared" si="8"/>
        <v>135.60456585365856</v>
      </c>
      <c r="H13" s="9">
        <f t="shared" si="9"/>
        <v>135.60456585365856</v>
      </c>
      <c r="K13" s="1" t="str">
        <f t="shared" si="3"/>
        <v>09 Карачаево-Черкесская Республика</v>
      </c>
      <c r="L13" s="289">
        <v>27093</v>
      </c>
      <c r="M13" s="10">
        <f t="shared" si="10"/>
        <v>165.20121951219511</v>
      </c>
      <c r="N13" s="9">
        <f t="shared" si="4"/>
        <v>234.11393234811831</v>
      </c>
      <c r="O13" s="261">
        <f t="shared" si="11"/>
        <v>29473.258983589698</v>
      </c>
      <c r="P13" s="10">
        <f t="shared" si="12"/>
        <v>179.7149938023762</v>
      </c>
      <c r="R13" s="9">
        <f t="shared" si="13"/>
        <v>234.11393234811831</v>
      </c>
      <c r="S13" s="9">
        <f t="shared" si="14"/>
        <v>234.11393234811831</v>
      </c>
      <c r="U13" s="1" t="s">
        <v>196</v>
      </c>
      <c r="W13" s="9">
        <f t="shared" si="15"/>
        <v>29473.258983589698</v>
      </c>
      <c r="X13" s="9">
        <f t="shared" si="16"/>
        <v>179.7149938023762</v>
      </c>
    </row>
    <row r="14" spans="1:31" x14ac:dyDescent="0.25">
      <c r="A14" s="7">
        <v>10</v>
      </c>
      <c r="B14" s="7">
        <v>10</v>
      </c>
      <c r="C14" s="16" t="s">
        <v>83</v>
      </c>
      <c r="D14" s="283">
        <v>84297.7</v>
      </c>
      <c r="E14" s="9">
        <f t="shared" si="2"/>
        <v>67438.16</v>
      </c>
      <c r="F14" s="9">
        <f t="shared" si="7"/>
        <v>274.13886178861787</v>
      </c>
      <c r="G14" s="9">
        <f t="shared" si="8"/>
        <v>357.75121463414632</v>
      </c>
      <c r="H14" s="9">
        <f t="shared" si="9"/>
        <v>341.41056829268291</v>
      </c>
      <c r="K14" s="1" t="str">
        <f t="shared" si="3"/>
        <v>10 Республика Карелия</v>
      </c>
      <c r="L14" s="289">
        <v>27093</v>
      </c>
      <c r="M14" s="10">
        <f t="shared" si="10"/>
        <v>165.20121951219511</v>
      </c>
      <c r="N14" s="9">
        <f t="shared" si="4"/>
        <v>234.11393234811831</v>
      </c>
      <c r="O14" s="261">
        <f t="shared" si="11"/>
        <v>29473.258983589698</v>
      </c>
      <c r="P14" s="10">
        <f t="shared" si="12"/>
        <v>179.7149938023762</v>
      </c>
      <c r="R14" s="9">
        <f t="shared" si="13"/>
        <v>357.75121463414632</v>
      </c>
      <c r="S14" s="9">
        <f t="shared" si="14"/>
        <v>341.41056829268291</v>
      </c>
      <c r="U14" s="1" t="s">
        <v>197</v>
      </c>
      <c r="W14" s="9">
        <f t="shared" si="15"/>
        <v>67438.16</v>
      </c>
      <c r="X14" s="9">
        <f t="shared" si="16"/>
        <v>274.13886178861787</v>
      </c>
    </row>
    <row r="15" spans="1:31" x14ac:dyDescent="0.25">
      <c r="A15" s="7">
        <v>11</v>
      </c>
      <c r="B15" s="7">
        <v>11</v>
      </c>
      <c r="C15" s="16" t="s">
        <v>84</v>
      </c>
      <c r="D15" s="283">
        <v>51423.1</v>
      </c>
      <c r="E15" s="9">
        <f t="shared" si="2"/>
        <v>41138.480000000003</v>
      </c>
      <c r="F15" s="9">
        <f t="shared" si="7"/>
        <v>167.22959349593498</v>
      </c>
      <c r="G15" s="9">
        <f t="shared" si="8"/>
        <v>218.23461951219514</v>
      </c>
      <c r="H15" s="9">
        <f t="shared" si="9"/>
        <v>217.93036341463417</v>
      </c>
      <c r="K15" s="1" t="str">
        <f t="shared" si="3"/>
        <v>11 Республика Коми</v>
      </c>
      <c r="L15" s="289">
        <v>27093</v>
      </c>
      <c r="M15" s="10">
        <f t="shared" si="10"/>
        <v>165.20121951219511</v>
      </c>
      <c r="N15" s="9">
        <f t="shared" si="4"/>
        <v>234.11393234811831</v>
      </c>
      <c r="O15" s="261">
        <f t="shared" si="11"/>
        <v>29473.258983589698</v>
      </c>
      <c r="P15" s="10">
        <f t="shared" si="12"/>
        <v>179.7149938023762</v>
      </c>
      <c r="R15" s="9">
        <f t="shared" si="13"/>
        <v>234.11393234811831</v>
      </c>
      <c r="S15" s="9">
        <f t="shared" si="14"/>
        <v>234.11393234811831</v>
      </c>
      <c r="U15" s="1" t="s">
        <v>198</v>
      </c>
      <c r="W15" s="9">
        <f t="shared" si="15"/>
        <v>41138.480000000003</v>
      </c>
      <c r="X15" s="9">
        <f t="shared" si="16"/>
        <v>179.7149938023762</v>
      </c>
    </row>
    <row r="16" spans="1:31" x14ac:dyDescent="0.25">
      <c r="A16" s="7">
        <v>12</v>
      </c>
      <c r="B16" s="8" t="s">
        <v>163</v>
      </c>
      <c r="C16" s="16" t="s">
        <v>99</v>
      </c>
      <c r="D16" s="283">
        <v>53131.5</v>
      </c>
      <c r="E16" s="9">
        <f t="shared" si="2"/>
        <v>42505.200000000004</v>
      </c>
      <c r="F16" s="9">
        <f t="shared" si="7"/>
        <v>172.78536585365856</v>
      </c>
      <c r="G16" s="9">
        <f t="shared" si="8"/>
        <v>225.48490243902441</v>
      </c>
      <c r="H16" s="9">
        <f t="shared" si="9"/>
        <v>224.34728048780491</v>
      </c>
      <c r="K16" s="1" t="str">
        <f t="shared" si="3"/>
        <v>12 Республика Марий Эл</v>
      </c>
      <c r="L16" s="289">
        <v>27093</v>
      </c>
      <c r="M16" s="10">
        <f t="shared" si="10"/>
        <v>165.20121951219511</v>
      </c>
      <c r="N16" s="9">
        <f t="shared" si="4"/>
        <v>234.11393234811831</v>
      </c>
      <c r="O16" s="261">
        <f t="shared" si="11"/>
        <v>29473.258983589698</v>
      </c>
      <c r="P16" s="10">
        <f t="shared" si="12"/>
        <v>179.7149938023762</v>
      </c>
      <c r="R16" s="9">
        <f t="shared" si="13"/>
        <v>234.11393234811831</v>
      </c>
      <c r="S16" s="9">
        <f t="shared" si="14"/>
        <v>234.11393234811831</v>
      </c>
      <c r="U16" s="1" t="s">
        <v>199</v>
      </c>
      <c r="W16" s="9">
        <f t="shared" si="15"/>
        <v>42505.200000000004</v>
      </c>
      <c r="X16" s="9">
        <f t="shared" si="16"/>
        <v>179.7149938023762</v>
      </c>
    </row>
    <row r="17" spans="1:24" x14ac:dyDescent="0.25">
      <c r="A17" s="7">
        <v>13</v>
      </c>
      <c r="B17" s="8" t="s">
        <v>164</v>
      </c>
      <c r="C17" s="16" t="s">
        <v>100</v>
      </c>
      <c r="D17" s="283">
        <v>45681.7</v>
      </c>
      <c r="E17" s="9">
        <f t="shared" si="2"/>
        <v>36545.360000000001</v>
      </c>
      <c r="F17" s="9">
        <f t="shared" si="7"/>
        <v>148.55837398373984</v>
      </c>
      <c r="G17" s="9">
        <f t="shared" si="8"/>
        <v>193.86867804878048</v>
      </c>
      <c r="H17" s="9">
        <f t="shared" si="9"/>
        <v>193.86867804878048</v>
      </c>
      <c r="K17" s="1" t="str">
        <f t="shared" si="3"/>
        <v>13 Республика Мордовия</v>
      </c>
      <c r="L17" s="289">
        <v>27093</v>
      </c>
      <c r="M17" s="10">
        <f t="shared" si="10"/>
        <v>165.20121951219511</v>
      </c>
      <c r="N17" s="9">
        <f t="shared" si="4"/>
        <v>234.11393234811831</v>
      </c>
      <c r="O17" s="261">
        <f t="shared" si="11"/>
        <v>29473.258983589698</v>
      </c>
      <c r="P17" s="10">
        <f t="shared" si="12"/>
        <v>179.7149938023762</v>
      </c>
      <c r="R17" s="9">
        <f t="shared" si="13"/>
        <v>234.11393234811831</v>
      </c>
      <c r="S17" s="9">
        <f t="shared" si="14"/>
        <v>234.11393234811831</v>
      </c>
      <c r="U17" s="1" t="s">
        <v>200</v>
      </c>
      <c r="W17" s="9">
        <f t="shared" si="15"/>
        <v>36545.360000000001</v>
      </c>
      <c r="X17" s="9">
        <f t="shared" si="16"/>
        <v>179.7149938023762</v>
      </c>
    </row>
    <row r="18" spans="1:24" x14ac:dyDescent="0.25">
      <c r="A18" s="7">
        <v>14</v>
      </c>
      <c r="B18" s="7">
        <v>14</v>
      </c>
      <c r="C18" s="16" t="s">
        <v>123</v>
      </c>
      <c r="D18" s="283">
        <v>58699.199999999997</v>
      </c>
      <c r="E18" s="9">
        <f t="shared" si="2"/>
        <v>46959.360000000001</v>
      </c>
      <c r="F18" s="9">
        <f t="shared" si="7"/>
        <v>190.89170731707318</v>
      </c>
      <c r="G18" s="9">
        <f t="shared" si="8"/>
        <v>249.11367804878049</v>
      </c>
      <c r="H18" s="9">
        <f t="shared" si="9"/>
        <v>245.26010487804879</v>
      </c>
      <c r="K18" s="1" t="str">
        <f t="shared" si="3"/>
        <v>14 Республика Саха (Якутия)</v>
      </c>
      <c r="L18" s="289">
        <v>27093</v>
      </c>
      <c r="M18" s="10">
        <f t="shared" si="10"/>
        <v>165.20121951219511</v>
      </c>
      <c r="N18" s="9">
        <f t="shared" si="4"/>
        <v>234.11393234811831</v>
      </c>
      <c r="O18" s="261">
        <f t="shared" si="11"/>
        <v>29473.258983589698</v>
      </c>
      <c r="P18" s="10">
        <f t="shared" si="12"/>
        <v>179.7149938023762</v>
      </c>
      <c r="R18" s="9">
        <f t="shared" si="13"/>
        <v>249.11367804878049</v>
      </c>
      <c r="S18" s="9">
        <f t="shared" si="14"/>
        <v>245.26010487804879</v>
      </c>
      <c r="U18" s="1" t="s">
        <v>201</v>
      </c>
      <c r="W18" s="9">
        <f t="shared" si="15"/>
        <v>46959.360000000001</v>
      </c>
      <c r="X18" s="9">
        <f t="shared" si="16"/>
        <v>190.89170731707318</v>
      </c>
    </row>
    <row r="19" spans="1:24" x14ac:dyDescent="0.25">
      <c r="A19" s="7">
        <v>15</v>
      </c>
      <c r="B19" s="8" t="s">
        <v>165</v>
      </c>
      <c r="C19" s="16" t="s">
        <v>141</v>
      </c>
      <c r="D19" s="283">
        <v>28406.799999999999</v>
      </c>
      <c r="E19" s="9">
        <f t="shared" si="2"/>
        <v>22725.440000000002</v>
      </c>
      <c r="F19" s="9">
        <f t="shared" si="7"/>
        <v>92.379837398373994</v>
      </c>
      <c r="G19" s="9">
        <f t="shared" si="8"/>
        <v>120.55568780487806</v>
      </c>
      <c r="H19" s="9">
        <f t="shared" si="9"/>
        <v>120.55568780487806</v>
      </c>
      <c r="K19" s="1" t="str">
        <f t="shared" si="3"/>
        <v>15 Республика Северная Осетия-Алания</v>
      </c>
      <c r="L19" s="289">
        <v>27093</v>
      </c>
      <c r="M19" s="10">
        <f t="shared" si="10"/>
        <v>165.20121951219511</v>
      </c>
      <c r="N19" s="9">
        <f t="shared" si="4"/>
        <v>234.11393234811831</v>
      </c>
      <c r="O19" s="261">
        <f t="shared" si="11"/>
        <v>29473.258983589698</v>
      </c>
      <c r="P19" s="10">
        <f t="shared" si="12"/>
        <v>179.7149938023762</v>
      </c>
      <c r="R19" s="9">
        <f t="shared" si="13"/>
        <v>234.11393234811831</v>
      </c>
      <c r="S19" s="9">
        <f t="shared" si="14"/>
        <v>234.11393234811831</v>
      </c>
      <c r="U19" s="1" t="s">
        <v>202</v>
      </c>
      <c r="W19" s="9">
        <f t="shared" si="15"/>
        <v>29473.258983589698</v>
      </c>
      <c r="X19" s="9">
        <f t="shared" si="16"/>
        <v>179.7149938023762</v>
      </c>
    </row>
    <row r="20" spans="1:24" x14ac:dyDescent="0.25">
      <c r="A20" s="7">
        <v>16</v>
      </c>
      <c r="B20" s="8" t="s">
        <v>166</v>
      </c>
      <c r="C20" s="16" t="s">
        <v>144</v>
      </c>
      <c r="D20" s="283">
        <v>48116</v>
      </c>
      <c r="E20" s="9">
        <f t="shared" si="2"/>
        <v>38492.800000000003</v>
      </c>
      <c r="F20" s="9">
        <f t="shared" si="7"/>
        <v>156.4747967479675</v>
      </c>
      <c r="G20" s="9">
        <f t="shared" si="8"/>
        <v>204.19960975609757</v>
      </c>
      <c r="H20" s="9">
        <f t="shared" si="9"/>
        <v>204.19960975609757</v>
      </c>
      <c r="K20" s="1" t="str">
        <f t="shared" si="3"/>
        <v>16 Республика Татарстан (Татарстан)</v>
      </c>
      <c r="L20" s="289">
        <v>28160</v>
      </c>
      <c r="M20" s="10">
        <f t="shared" si="10"/>
        <v>171.70731707317074</v>
      </c>
      <c r="N20" s="9">
        <f t="shared" si="4"/>
        <v>243.33401007356184</v>
      </c>
      <c r="O20" s="261">
        <f t="shared" si="11"/>
        <v>30634.000405192703</v>
      </c>
      <c r="P20" s="10">
        <f t="shared" si="12"/>
        <v>186.79268539751646</v>
      </c>
      <c r="R20" s="9">
        <f t="shared" si="13"/>
        <v>243.33401007356184</v>
      </c>
      <c r="S20" s="9">
        <f t="shared" si="14"/>
        <v>243.33401007356184</v>
      </c>
      <c r="U20" s="1" t="s">
        <v>203</v>
      </c>
      <c r="W20" s="9">
        <f t="shared" si="15"/>
        <v>38492.800000000003</v>
      </c>
      <c r="X20" s="9">
        <f t="shared" si="16"/>
        <v>186.79268539751646</v>
      </c>
    </row>
    <row r="21" spans="1:24" x14ac:dyDescent="0.25">
      <c r="A21" s="7">
        <v>17</v>
      </c>
      <c r="B21" s="7">
        <v>17</v>
      </c>
      <c r="C21" s="16" t="s">
        <v>114</v>
      </c>
      <c r="D21" s="283">
        <v>61585.1</v>
      </c>
      <c r="E21" s="9">
        <f t="shared" si="2"/>
        <v>49268.08</v>
      </c>
      <c r="F21" s="9">
        <f t="shared" si="7"/>
        <v>200.27674796747968</v>
      </c>
      <c r="G21" s="9">
        <f t="shared" si="8"/>
        <v>261.36115609756098</v>
      </c>
      <c r="H21" s="9">
        <f t="shared" si="9"/>
        <v>256.0998268292683</v>
      </c>
      <c r="K21" s="1" t="str">
        <f t="shared" si="3"/>
        <v>17 Республика Тыва</v>
      </c>
      <c r="L21" s="289">
        <v>27093</v>
      </c>
      <c r="M21" s="10">
        <f t="shared" si="10"/>
        <v>165.20121951219511</v>
      </c>
      <c r="N21" s="9">
        <f t="shared" si="4"/>
        <v>234.11393234811831</v>
      </c>
      <c r="O21" s="261">
        <f t="shared" si="11"/>
        <v>29473.258983589698</v>
      </c>
      <c r="P21" s="10">
        <f t="shared" si="12"/>
        <v>179.7149938023762</v>
      </c>
      <c r="R21" s="9">
        <f t="shared" si="13"/>
        <v>261.36115609756098</v>
      </c>
      <c r="S21" s="9">
        <f t="shared" si="14"/>
        <v>256.0998268292683</v>
      </c>
      <c r="U21" s="1" t="s">
        <v>204</v>
      </c>
      <c r="W21" s="9">
        <f t="shared" si="15"/>
        <v>49268.08</v>
      </c>
      <c r="X21" s="9">
        <f t="shared" si="16"/>
        <v>200.27674796747968</v>
      </c>
    </row>
    <row r="22" spans="1:24" x14ac:dyDescent="0.25">
      <c r="A22" s="7">
        <v>18</v>
      </c>
      <c r="B22" s="8" t="s">
        <v>167</v>
      </c>
      <c r="C22" s="16" t="s">
        <v>101</v>
      </c>
      <c r="D22" s="283">
        <v>43568.3</v>
      </c>
      <c r="E22" s="9">
        <f t="shared" si="2"/>
        <v>34854.640000000007</v>
      </c>
      <c r="F22" s="9">
        <f t="shared" si="7"/>
        <v>141.68552845528458</v>
      </c>
      <c r="G22" s="9">
        <f t="shared" si="8"/>
        <v>184.89961463414636</v>
      </c>
      <c r="H22" s="9">
        <f t="shared" si="9"/>
        <v>184.89961463414636</v>
      </c>
      <c r="K22" s="1" t="str">
        <f t="shared" si="3"/>
        <v>18 Удмуртская Республика</v>
      </c>
      <c r="L22" s="289">
        <v>31156</v>
      </c>
      <c r="M22" s="10">
        <f t="shared" si="10"/>
        <v>189.97560975609755</v>
      </c>
      <c r="N22" s="9">
        <f t="shared" si="4"/>
        <v>269.22281313394507</v>
      </c>
      <c r="O22" s="261">
        <f t="shared" si="11"/>
        <v>33893.214368756526</v>
      </c>
      <c r="P22" s="10">
        <f t="shared" si="12"/>
        <v>206.66594127290566</v>
      </c>
      <c r="R22" s="9">
        <f t="shared" si="13"/>
        <v>269.22281313394507</v>
      </c>
      <c r="S22" s="9">
        <f t="shared" si="14"/>
        <v>269.22281313394507</v>
      </c>
      <c r="U22" s="1" t="s">
        <v>205</v>
      </c>
      <c r="W22" s="9">
        <f t="shared" si="15"/>
        <v>34854.640000000007</v>
      </c>
      <c r="X22" s="9">
        <f t="shared" si="16"/>
        <v>206.66594127290566</v>
      </c>
    </row>
    <row r="23" spans="1:24" x14ac:dyDescent="0.25">
      <c r="A23" s="7">
        <v>19</v>
      </c>
      <c r="B23" s="7">
        <v>19</v>
      </c>
      <c r="C23" s="16" t="s">
        <v>115</v>
      </c>
      <c r="D23" s="283">
        <v>54015.7</v>
      </c>
      <c r="E23" s="9">
        <f t="shared" si="2"/>
        <v>43212.56</v>
      </c>
      <c r="F23" s="9">
        <f t="shared" si="7"/>
        <v>175.66081300813008</v>
      </c>
      <c r="G23" s="9">
        <f t="shared" si="8"/>
        <v>229.23736097560973</v>
      </c>
      <c r="H23" s="9">
        <f t="shared" si="9"/>
        <v>227.6684219512195</v>
      </c>
      <c r="K23" s="1" t="str">
        <f t="shared" si="3"/>
        <v>19 Республика Хакасия</v>
      </c>
      <c r="L23" s="289">
        <v>27093</v>
      </c>
      <c r="M23" s="10">
        <f t="shared" si="10"/>
        <v>165.20121951219511</v>
      </c>
      <c r="N23" s="9">
        <f t="shared" si="4"/>
        <v>234.11393234811831</v>
      </c>
      <c r="O23" s="261">
        <f t="shared" si="11"/>
        <v>29473.258983589698</v>
      </c>
      <c r="P23" s="10">
        <f t="shared" si="12"/>
        <v>179.7149938023762</v>
      </c>
      <c r="R23" s="9">
        <f t="shared" si="13"/>
        <v>234.11393234811831</v>
      </c>
      <c r="S23" s="9">
        <f t="shared" si="14"/>
        <v>234.11393234811831</v>
      </c>
      <c r="U23" s="1" t="s">
        <v>206</v>
      </c>
      <c r="W23" s="9">
        <f t="shared" si="15"/>
        <v>43212.56</v>
      </c>
      <c r="X23" s="9">
        <f t="shared" si="16"/>
        <v>179.7149938023762</v>
      </c>
    </row>
    <row r="24" spans="1:24" x14ac:dyDescent="0.25">
      <c r="A24" s="7">
        <v>20</v>
      </c>
      <c r="B24" s="8" t="s">
        <v>168</v>
      </c>
      <c r="C24" s="16" t="s">
        <v>142</v>
      </c>
      <c r="D24" s="283">
        <v>32705.4</v>
      </c>
      <c r="E24" s="9">
        <f t="shared" si="2"/>
        <v>26164.320000000003</v>
      </c>
      <c r="F24" s="9">
        <f t="shared" si="7"/>
        <v>106.35902439024392</v>
      </c>
      <c r="G24" s="9">
        <f t="shared" si="8"/>
        <v>138.7985268292683</v>
      </c>
      <c r="H24" s="9">
        <f t="shared" si="9"/>
        <v>138.7985268292683</v>
      </c>
      <c r="K24" s="1" t="str">
        <f t="shared" si="3"/>
        <v>20 Чеченская Республика</v>
      </c>
      <c r="L24" s="289">
        <v>27093</v>
      </c>
      <c r="M24" s="10">
        <f t="shared" si="10"/>
        <v>165.20121951219511</v>
      </c>
      <c r="N24" s="9">
        <f t="shared" si="4"/>
        <v>234.11393234811831</v>
      </c>
      <c r="O24" s="261">
        <f t="shared" si="11"/>
        <v>29473.258983589698</v>
      </c>
      <c r="P24" s="10">
        <f t="shared" si="12"/>
        <v>179.7149938023762</v>
      </c>
      <c r="R24" s="9">
        <f t="shared" si="13"/>
        <v>234.11393234811831</v>
      </c>
      <c r="S24" s="9">
        <f t="shared" si="14"/>
        <v>234.11393234811831</v>
      </c>
      <c r="U24" s="1" t="s">
        <v>207</v>
      </c>
      <c r="W24" s="9">
        <f t="shared" si="15"/>
        <v>29473.258983589698</v>
      </c>
      <c r="X24" s="9">
        <f t="shared" si="16"/>
        <v>179.7149938023762</v>
      </c>
    </row>
    <row r="25" spans="1:24" x14ac:dyDescent="0.25">
      <c r="A25" s="7">
        <v>21</v>
      </c>
      <c r="B25" s="8" t="s">
        <v>169</v>
      </c>
      <c r="C25" s="16" t="s">
        <v>145</v>
      </c>
      <c r="D25" s="283">
        <v>36846.699999999997</v>
      </c>
      <c r="E25" s="9">
        <f t="shared" si="2"/>
        <v>29477.360000000001</v>
      </c>
      <c r="F25" s="9">
        <f t="shared" si="7"/>
        <v>119.82666666666667</v>
      </c>
      <c r="G25" s="9">
        <f t="shared" si="8"/>
        <v>156.37379999999999</v>
      </c>
      <c r="H25" s="9">
        <f t="shared" si="9"/>
        <v>156.37379999999999</v>
      </c>
      <c r="K25" s="1" t="str">
        <f t="shared" si="3"/>
        <v>21 Чувашская Республика - Чувашия</v>
      </c>
      <c r="L25" s="289">
        <v>27093</v>
      </c>
      <c r="M25" s="10">
        <f t="shared" si="10"/>
        <v>165.20121951219511</v>
      </c>
      <c r="N25" s="9">
        <f t="shared" si="4"/>
        <v>234.11393234811831</v>
      </c>
      <c r="O25" s="261">
        <f t="shared" si="11"/>
        <v>29473.258983589698</v>
      </c>
      <c r="P25" s="10">
        <f t="shared" si="12"/>
        <v>179.7149938023762</v>
      </c>
      <c r="R25" s="9">
        <f t="shared" si="13"/>
        <v>234.11393234811831</v>
      </c>
      <c r="S25" s="9">
        <f t="shared" si="14"/>
        <v>234.11393234811831</v>
      </c>
      <c r="U25" s="1" t="s">
        <v>217</v>
      </c>
      <c r="W25" s="9">
        <f t="shared" si="15"/>
        <v>29477.360000000001</v>
      </c>
      <c r="X25" s="9">
        <f t="shared" si="16"/>
        <v>179.7149938023762</v>
      </c>
    </row>
    <row r="26" spans="1:24" x14ac:dyDescent="0.25">
      <c r="A26" s="7">
        <v>22</v>
      </c>
      <c r="B26" s="7">
        <v>22</v>
      </c>
      <c r="C26" s="16" t="s">
        <v>116</v>
      </c>
      <c r="D26" s="283">
        <v>41709.599999999999</v>
      </c>
      <c r="E26" s="9">
        <f t="shared" si="2"/>
        <v>33367.68</v>
      </c>
      <c r="F26" s="9">
        <f t="shared" si="7"/>
        <v>135.64097560975611</v>
      </c>
      <c r="G26" s="9">
        <f t="shared" si="8"/>
        <v>177.0114731707317</v>
      </c>
      <c r="H26" s="9">
        <f t="shared" si="9"/>
        <v>177.0114731707317</v>
      </c>
      <c r="K26" s="1" t="str">
        <f t="shared" si="3"/>
        <v>22 Алтайский край</v>
      </c>
      <c r="L26" s="289">
        <v>28475</v>
      </c>
      <c r="M26" s="10">
        <f t="shared" si="10"/>
        <v>173.6280487804878</v>
      </c>
      <c r="N26" s="9">
        <f t="shared" si="4"/>
        <v>246.05596366635913</v>
      </c>
      <c r="O26" s="261">
        <f t="shared" si="11"/>
        <v>30976.674770520673</v>
      </c>
      <c r="P26" s="10">
        <f t="shared" si="12"/>
        <v>188.88216323488214</v>
      </c>
      <c r="R26" s="9">
        <f t="shared" si="13"/>
        <v>246.05596366635913</v>
      </c>
      <c r="S26" s="9">
        <f t="shared" si="14"/>
        <v>246.05596366635913</v>
      </c>
      <c r="U26" s="1" t="s">
        <v>208</v>
      </c>
      <c r="W26" s="9">
        <f t="shared" si="15"/>
        <v>33367.68</v>
      </c>
      <c r="X26" s="9">
        <f t="shared" si="16"/>
        <v>188.88216323488214</v>
      </c>
    </row>
    <row r="27" spans="1:24" x14ac:dyDescent="0.25">
      <c r="A27" s="7">
        <v>23</v>
      </c>
      <c r="B27" s="7">
        <v>23</v>
      </c>
      <c r="C27" s="16" t="s">
        <v>94</v>
      </c>
      <c r="D27" s="283">
        <v>50074.400000000001</v>
      </c>
      <c r="E27" s="9">
        <f t="shared" si="2"/>
        <v>40059.520000000004</v>
      </c>
      <c r="F27" s="9">
        <f t="shared" si="7"/>
        <v>162.84357723577239</v>
      </c>
      <c r="G27" s="9">
        <f t="shared" si="8"/>
        <v>212.51086829268294</v>
      </c>
      <c r="H27" s="9">
        <f t="shared" si="9"/>
        <v>212.51086829268294</v>
      </c>
      <c r="K27" s="1" t="str">
        <f t="shared" si="3"/>
        <v>23 Краснодарский край</v>
      </c>
      <c r="L27" s="289">
        <v>28447.65</v>
      </c>
      <c r="M27" s="10">
        <f t="shared" si="10"/>
        <v>173.46128048780488</v>
      </c>
      <c r="N27" s="9">
        <f t="shared" si="4"/>
        <v>245.8196289655242</v>
      </c>
      <c r="O27" s="261">
        <f t="shared" si="11"/>
        <v>30946.921932769179</v>
      </c>
      <c r="P27" s="10">
        <f t="shared" si="12"/>
        <v>188.70074349249501</v>
      </c>
      <c r="R27" s="9">
        <f t="shared" si="13"/>
        <v>245.8196289655242</v>
      </c>
      <c r="S27" s="9">
        <f t="shared" si="14"/>
        <v>245.8196289655242</v>
      </c>
      <c r="U27" s="1" t="s">
        <v>209</v>
      </c>
      <c r="W27" s="9">
        <f t="shared" si="15"/>
        <v>40059.520000000004</v>
      </c>
      <c r="X27" s="9">
        <f t="shared" si="16"/>
        <v>188.70074349249501</v>
      </c>
    </row>
    <row r="28" spans="1:24" x14ac:dyDescent="0.25">
      <c r="A28" s="7">
        <v>24</v>
      </c>
      <c r="B28" s="11">
        <v>24</v>
      </c>
      <c r="C28" s="16" t="s">
        <v>117</v>
      </c>
      <c r="D28" s="283">
        <v>71789.600000000006</v>
      </c>
      <c r="E28" s="9">
        <f t="shared" si="2"/>
        <v>57431.680000000008</v>
      </c>
      <c r="F28" s="9">
        <f t="shared" si="7"/>
        <v>233.46211382113825</v>
      </c>
      <c r="G28" s="9">
        <f t="shared" si="8"/>
        <v>304.66805853658542</v>
      </c>
      <c r="H28" s="9">
        <f t="shared" si="9"/>
        <v>294.42892439024394</v>
      </c>
      <c r="K28" s="1" t="str">
        <f t="shared" si="3"/>
        <v>24 Красноярский край</v>
      </c>
      <c r="L28" s="289">
        <v>27093</v>
      </c>
      <c r="M28" s="10">
        <f t="shared" si="10"/>
        <v>165.20121951219511</v>
      </c>
      <c r="N28" s="9">
        <f t="shared" si="4"/>
        <v>234.11393234811831</v>
      </c>
      <c r="O28" s="261">
        <f t="shared" si="11"/>
        <v>29473.258983589698</v>
      </c>
      <c r="P28" s="10">
        <f t="shared" si="12"/>
        <v>179.7149938023762</v>
      </c>
      <c r="R28" s="9">
        <f t="shared" si="13"/>
        <v>304.66805853658542</v>
      </c>
      <c r="S28" s="9">
        <f t="shared" si="14"/>
        <v>294.42892439024394</v>
      </c>
      <c r="U28" s="1" t="s">
        <v>210</v>
      </c>
      <c r="W28" s="9">
        <f t="shared" si="15"/>
        <v>57431.680000000008</v>
      </c>
      <c r="X28" s="9">
        <f t="shared" si="16"/>
        <v>233.46211382113825</v>
      </c>
    </row>
    <row r="29" spans="1:24" x14ac:dyDescent="0.25">
      <c r="A29" s="7">
        <v>25</v>
      </c>
      <c r="B29" s="7">
        <v>25</v>
      </c>
      <c r="C29" s="16" t="s">
        <v>126</v>
      </c>
      <c r="D29" s="283">
        <v>68800.899999999994</v>
      </c>
      <c r="E29" s="9">
        <f t="shared" si="2"/>
        <v>55040.72</v>
      </c>
      <c r="F29" s="9">
        <f t="shared" si="7"/>
        <v>223.74276422764228</v>
      </c>
      <c r="G29" s="9">
        <f t="shared" si="8"/>
        <v>291.98430731707316</v>
      </c>
      <c r="H29" s="9">
        <f t="shared" si="9"/>
        <v>283.20307560975607</v>
      </c>
      <c r="K29" s="1" t="str">
        <f t="shared" si="3"/>
        <v>25 Приморский край</v>
      </c>
      <c r="L29" s="289">
        <v>27093</v>
      </c>
      <c r="M29" s="10">
        <f t="shared" si="10"/>
        <v>165.20121951219511</v>
      </c>
      <c r="N29" s="9">
        <f t="shared" si="4"/>
        <v>234.11393234811831</v>
      </c>
      <c r="O29" s="261">
        <f t="shared" si="11"/>
        <v>29473.258983589698</v>
      </c>
      <c r="P29" s="10">
        <f t="shared" si="12"/>
        <v>179.7149938023762</v>
      </c>
      <c r="R29" s="9">
        <f t="shared" si="13"/>
        <v>291.98430731707316</v>
      </c>
      <c r="S29" s="9">
        <f t="shared" si="14"/>
        <v>283.20307560975607</v>
      </c>
      <c r="U29" s="1" t="s">
        <v>211</v>
      </c>
      <c r="W29" s="9">
        <f t="shared" si="15"/>
        <v>55040.72</v>
      </c>
      <c r="X29" s="9">
        <f t="shared" si="16"/>
        <v>223.74276422764228</v>
      </c>
    </row>
    <row r="30" spans="1:24" x14ac:dyDescent="0.25">
      <c r="A30" s="7">
        <v>26</v>
      </c>
      <c r="B30" s="8" t="s">
        <v>170</v>
      </c>
      <c r="C30" s="16" t="s">
        <v>143</v>
      </c>
      <c r="D30" s="283">
        <v>41527.9</v>
      </c>
      <c r="E30" s="9">
        <f t="shared" si="2"/>
        <v>33222.32</v>
      </c>
      <c r="F30" s="9">
        <f t="shared" si="7"/>
        <v>135.05008130081302</v>
      </c>
      <c r="G30" s="9">
        <f t="shared" si="8"/>
        <v>176.24035609756098</v>
      </c>
      <c r="H30" s="9">
        <f t="shared" si="9"/>
        <v>176.24035609756098</v>
      </c>
      <c r="K30" s="1" t="str">
        <f t="shared" si="3"/>
        <v>26 Ставропольский край</v>
      </c>
      <c r="L30" s="289">
        <v>27868.5</v>
      </c>
      <c r="M30" s="10">
        <f t="shared" si="10"/>
        <v>169.92987804878049</v>
      </c>
      <c r="N30" s="9">
        <f t="shared" si="4"/>
        <v>240.81512285990976</v>
      </c>
      <c r="O30" s="261">
        <f t="shared" si="11"/>
        <v>30316.890635373322</v>
      </c>
      <c r="P30" s="10">
        <f t="shared" si="12"/>
        <v>184.85908924008126</v>
      </c>
      <c r="R30" s="9">
        <f t="shared" si="13"/>
        <v>240.81512285990976</v>
      </c>
      <c r="S30" s="9">
        <f t="shared" si="14"/>
        <v>240.81512285990976</v>
      </c>
      <c r="U30" s="1" t="s">
        <v>212</v>
      </c>
      <c r="W30" s="9">
        <f t="shared" si="15"/>
        <v>33222.32</v>
      </c>
      <c r="X30" s="9">
        <f t="shared" si="16"/>
        <v>184.85908924008126</v>
      </c>
    </row>
    <row r="31" spans="1:24" x14ac:dyDescent="0.25">
      <c r="A31" s="7">
        <v>27</v>
      </c>
      <c r="B31" s="7">
        <v>27</v>
      </c>
      <c r="C31" s="16" t="s">
        <v>127</v>
      </c>
      <c r="D31" s="283">
        <v>55278.5</v>
      </c>
      <c r="E31" s="9">
        <f t="shared" si="2"/>
        <v>44222.8</v>
      </c>
      <c r="F31" s="9">
        <f t="shared" si="7"/>
        <v>179.76747967479676</v>
      </c>
      <c r="G31" s="9">
        <f t="shared" si="8"/>
        <v>234.59656097560975</v>
      </c>
      <c r="H31" s="9">
        <f t="shared" si="9"/>
        <v>232.41162195121953</v>
      </c>
      <c r="K31" s="1" t="str">
        <f t="shared" si="3"/>
        <v>27 Хабаровский край</v>
      </c>
      <c r="L31" s="289">
        <v>27093</v>
      </c>
      <c r="M31" s="10">
        <f t="shared" si="10"/>
        <v>165.20121951219511</v>
      </c>
      <c r="N31" s="9">
        <f t="shared" si="4"/>
        <v>234.11393234811831</v>
      </c>
      <c r="O31" s="261">
        <f t="shared" si="11"/>
        <v>29473.258983589698</v>
      </c>
      <c r="P31" s="10">
        <f t="shared" si="12"/>
        <v>179.7149938023762</v>
      </c>
      <c r="R31" s="9">
        <f t="shared" si="13"/>
        <v>234.59656097560975</v>
      </c>
      <c r="S31" s="9">
        <f t="shared" si="14"/>
        <v>234.11393234811831</v>
      </c>
      <c r="W31" s="9">
        <f t="shared" si="15"/>
        <v>44222.8</v>
      </c>
      <c r="X31" s="9">
        <f t="shared" si="16"/>
        <v>179.76747967479676</v>
      </c>
    </row>
    <row r="32" spans="1:24" x14ac:dyDescent="0.25">
      <c r="A32" s="7">
        <v>28</v>
      </c>
      <c r="B32" s="7">
        <v>28</v>
      </c>
      <c r="C32" s="16" t="s">
        <v>128</v>
      </c>
      <c r="D32" s="283">
        <v>52181.7</v>
      </c>
      <c r="E32" s="9">
        <f t="shared" si="2"/>
        <v>41745.360000000001</v>
      </c>
      <c r="F32" s="9">
        <f t="shared" si="7"/>
        <v>169.69658536585365</v>
      </c>
      <c r="G32" s="9">
        <f t="shared" si="8"/>
        <v>221.454043902439</v>
      </c>
      <c r="H32" s="9">
        <f t="shared" si="9"/>
        <v>220.77973902439024</v>
      </c>
      <c r="K32" s="1" t="str">
        <f t="shared" si="3"/>
        <v>28 Амурская область</v>
      </c>
      <c r="L32" s="289">
        <v>27093</v>
      </c>
      <c r="M32" s="10">
        <f t="shared" si="10"/>
        <v>165.20121951219511</v>
      </c>
      <c r="N32" s="9">
        <f t="shared" si="4"/>
        <v>234.11393234811831</v>
      </c>
      <c r="O32" s="261">
        <f t="shared" si="11"/>
        <v>29473.258983589698</v>
      </c>
      <c r="P32" s="10">
        <f t="shared" si="12"/>
        <v>179.7149938023762</v>
      </c>
      <c r="R32" s="9">
        <f t="shared" si="13"/>
        <v>234.11393234811831</v>
      </c>
      <c r="S32" s="9">
        <f t="shared" si="14"/>
        <v>234.11393234811831</v>
      </c>
      <c r="W32" s="9">
        <f t="shared" si="15"/>
        <v>41745.360000000001</v>
      </c>
      <c r="X32" s="9">
        <f t="shared" si="16"/>
        <v>179.7149938023762</v>
      </c>
    </row>
    <row r="33" spans="1:24" x14ac:dyDescent="0.25">
      <c r="A33" s="7">
        <v>29</v>
      </c>
      <c r="B33" s="7">
        <v>29</v>
      </c>
      <c r="C33" s="16" t="s">
        <v>85</v>
      </c>
      <c r="D33" s="283">
        <v>52622.8</v>
      </c>
      <c r="E33" s="9">
        <f t="shared" si="2"/>
        <v>42098.240000000005</v>
      </c>
      <c r="F33" s="9">
        <f t="shared" si="7"/>
        <v>171.13105691056913</v>
      </c>
      <c r="G33" s="9">
        <f t="shared" si="8"/>
        <v>223.3260292682927</v>
      </c>
      <c r="H33" s="9">
        <f t="shared" si="9"/>
        <v>222.43655365853661</v>
      </c>
      <c r="K33" s="1" t="str">
        <f t="shared" si="3"/>
        <v>29 Архангельская область</v>
      </c>
      <c r="L33" s="289">
        <v>27093</v>
      </c>
      <c r="M33" s="10">
        <f t="shared" si="10"/>
        <v>165.20121951219511</v>
      </c>
      <c r="N33" s="9">
        <f t="shared" si="4"/>
        <v>234.11393234811831</v>
      </c>
      <c r="O33" s="261">
        <f t="shared" si="11"/>
        <v>29473.258983589698</v>
      </c>
      <c r="P33" s="10">
        <f t="shared" si="12"/>
        <v>179.7149938023762</v>
      </c>
      <c r="R33" s="9">
        <f t="shared" si="13"/>
        <v>234.11393234811831</v>
      </c>
      <c r="S33" s="9">
        <f t="shared" si="14"/>
        <v>234.11393234811831</v>
      </c>
      <c r="W33" s="9">
        <f t="shared" si="15"/>
        <v>42098.240000000005</v>
      </c>
      <c r="X33" s="9">
        <f t="shared" si="16"/>
        <v>179.7149938023762</v>
      </c>
    </row>
    <row r="34" spans="1:24" x14ac:dyDescent="0.25">
      <c r="A34" s="7">
        <v>30</v>
      </c>
      <c r="B34" s="7">
        <v>30</v>
      </c>
      <c r="C34" s="16" t="s">
        <v>95</v>
      </c>
      <c r="D34" s="283">
        <v>38561.800000000003</v>
      </c>
      <c r="E34" s="9">
        <f t="shared" si="2"/>
        <v>30849.440000000002</v>
      </c>
      <c r="F34" s="9">
        <f t="shared" si="7"/>
        <v>125.40422764227644</v>
      </c>
      <c r="G34" s="9">
        <f t="shared" si="8"/>
        <v>163.65251707317074</v>
      </c>
      <c r="H34" s="9">
        <f t="shared" si="9"/>
        <v>163.65251707317074</v>
      </c>
      <c r="K34" s="1" t="str">
        <f t="shared" si="3"/>
        <v>30 Астраханская область</v>
      </c>
      <c r="L34" s="289">
        <v>27093</v>
      </c>
      <c r="M34" s="10">
        <f t="shared" si="10"/>
        <v>165.20121951219511</v>
      </c>
      <c r="N34" s="9">
        <f t="shared" si="4"/>
        <v>234.11393234811831</v>
      </c>
      <c r="O34" s="261">
        <f t="shared" si="11"/>
        <v>29473.258983589698</v>
      </c>
      <c r="P34" s="10">
        <f t="shared" si="12"/>
        <v>179.7149938023762</v>
      </c>
      <c r="R34" s="9">
        <f t="shared" si="13"/>
        <v>234.11393234811831</v>
      </c>
      <c r="S34" s="9">
        <f t="shared" si="14"/>
        <v>234.11393234811831</v>
      </c>
      <c r="W34" s="9">
        <f t="shared" si="15"/>
        <v>30849.440000000002</v>
      </c>
      <c r="X34" s="9">
        <f t="shared" si="16"/>
        <v>179.7149938023762</v>
      </c>
    </row>
    <row r="35" spans="1:24" x14ac:dyDescent="0.25">
      <c r="A35" s="7">
        <v>31</v>
      </c>
      <c r="B35" s="7">
        <v>31</v>
      </c>
      <c r="C35" s="13" t="s">
        <v>67</v>
      </c>
      <c r="D35" s="283">
        <v>44953.1</v>
      </c>
      <c r="E35" s="9">
        <f t="shared" si="2"/>
        <v>35962.480000000003</v>
      </c>
      <c r="F35" s="9">
        <f t="shared" si="7"/>
        <v>146.18894308943092</v>
      </c>
      <c r="G35" s="9">
        <f t="shared" si="8"/>
        <v>190.77657073170735</v>
      </c>
      <c r="H35" s="9">
        <f t="shared" si="9"/>
        <v>190.77657073170735</v>
      </c>
      <c r="K35" s="1" t="str">
        <f t="shared" si="3"/>
        <v>31 Белгородская область</v>
      </c>
      <c r="L35" s="289">
        <v>27093</v>
      </c>
      <c r="M35" s="10">
        <f t="shared" si="10"/>
        <v>165.20121951219511</v>
      </c>
      <c r="N35" s="9">
        <f t="shared" si="4"/>
        <v>234.11393234811831</v>
      </c>
      <c r="O35" s="261">
        <f t="shared" si="11"/>
        <v>29473.258983589698</v>
      </c>
      <c r="P35" s="10">
        <f t="shared" si="12"/>
        <v>179.7149938023762</v>
      </c>
      <c r="R35" s="9">
        <f t="shared" si="13"/>
        <v>234.11393234811831</v>
      </c>
      <c r="S35" s="9">
        <f t="shared" si="14"/>
        <v>234.11393234811831</v>
      </c>
      <c r="W35" s="9">
        <f t="shared" si="15"/>
        <v>35962.480000000003</v>
      </c>
      <c r="X35" s="9">
        <f t="shared" si="16"/>
        <v>179.7149938023762</v>
      </c>
    </row>
    <row r="36" spans="1:24" x14ac:dyDescent="0.25">
      <c r="A36" s="7">
        <v>32</v>
      </c>
      <c r="B36" s="7">
        <v>32</v>
      </c>
      <c r="C36" s="13" t="s">
        <v>68</v>
      </c>
      <c r="D36" s="283">
        <v>39413.5</v>
      </c>
      <c r="E36" s="9">
        <f t="shared" si="2"/>
        <v>31530.800000000003</v>
      </c>
      <c r="F36" s="9">
        <f t="shared" si="7"/>
        <v>128.17398373983741</v>
      </c>
      <c r="G36" s="9">
        <f t="shared" si="8"/>
        <v>167.26704878048781</v>
      </c>
      <c r="H36" s="9">
        <f t="shared" si="9"/>
        <v>167.26704878048781</v>
      </c>
      <c r="K36" s="1" t="str">
        <f t="shared" si="3"/>
        <v>32 Брянская область</v>
      </c>
      <c r="L36" s="289">
        <v>27093</v>
      </c>
      <c r="M36" s="10">
        <f t="shared" si="10"/>
        <v>165.20121951219511</v>
      </c>
      <c r="N36" s="9">
        <f t="shared" si="4"/>
        <v>234.11393234811831</v>
      </c>
      <c r="O36" s="261">
        <f t="shared" si="11"/>
        <v>29473.258983589698</v>
      </c>
      <c r="P36" s="10">
        <f t="shared" si="12"/>
        <v>179.7149938023762</v>
      </c>
      <c r="R36" s="9">
        <f t="shared" si="13"/>
        <v>234.11393234811831</v>
      </c>
      <c r="S36" s="9">
        <f t="shared" si="14"/>
        <v>234.11393234811831</v>
      </c>
      <c r="W36" s="9">
        <f t="shared" si="15"/>
        <v>31530.800000000003</v>
      </c>
      <c r="X36" s="9">
        <f t="shared" si="16"/>
        <v>179.7149938023762</v>
      </c>
    </row>
    <row r="37" spans="1:24" x14ac:dyDescent="0.25">
      <c r="A37" s="7">
        <v>33</v>
      </c>
      <c r="B37" s="7">
        <v>33</v>
      </c>
      <c r="C37" s="13" t="s">
        <v>69</v>
      </c>
      <c r="D37" s="283">
        <v>40872.300000000003</v>
      </c>
      <c r="E37" s="9">
        <f t="shared" ref="E37:E68" si="17">D37*0.8</f>
        <v>32697.840000000004</v>
      </c>
      <c r="F37" s="9">
        <f t="shared" si="7"/>
        <v>132.91804878048782</v>
      </c>
      <c r="G37" s="9">
        <f t="shared" si="8"/>
        <v>173.45805365853661</v>
      </c>
      <c r="H37" s="9">
        <f t="shared" si="9"/>
        <v>173.45805365853661</v>
      </c>
      <c r="K37" s="1" t="str">
        <f t="shared" ref="K37:K68" si="18">CONCATENATE(B37," ",C37)</f>
        <v>33 Владимирская область</v>
      </c>
      <c r="L37" s="289">
        <v>27093</v>
      </c>
      <c r="M37" s="10">
        <f t="shared" si="10"/>
        <v>165.20121951219511</v>
      </c>
      <c r="N37" s="9">
        <f t="shared" si="4"/>
        <v>234.11393234811831</v>
      </c>
      <c r="O37" s="261">
        <f t="shared" si="11"/>
        <v>29473.258983589698</v>
      </c>
      <c r="P37" s="10">
        <f t="shared" si="12"/>
        <v>179.7149938023762</v>
      </c>
      <c r="R37" s="9">
        <f t="shared" si="13"/>
        <v>234.11393234811831</v>
      </c>
      <c r="S37" s="9">
        <f t="shared" si="14"/>
        <v>234.11393234811831</v>
      </c>
      <c r="W37" s="9">
        <f t="shared" si="15"/>
        <v>32697.840000000004</v>
      </c>
      <c r="X37" s="9">
        <f t="shared" si="16"/>
        <v>179.7149938023762</v>
      </c>
    </row>
    <row r="38" spans="1:24" x14ac:dyDescent="0.25">
      <c r="A38" s="7">
        <v>34</v>
      </c>
      <c r="B38" s="7">
        <v>34</v>
      </c>
      <c r="C38" s="16" t="s">
        <v>96</v>
      </c>
      <c r="D38" s="283">
        <v>36384.400000000001</v>
      </c>
      <c r="E38" s="9">
        <f t="shared" si="17"/>
        <v>29107.520000000004</v>
      </c>
      <c r="F38" s="9">
        <f t="shared" si="7"/>
        <v>118.32325203252034</v>
      </c>
      <c r="G38" s="9">
        <f t="shared" si="8"/>
        <v>154.41184390243905</v>
      </c>
      <c r="H38" s="9">
        <f t="shared" si="9"/>
        <v>154.41184390243905</v>
      </c>
      <c r="K38" s="1" t="str">
        <f t="shared" si="18"/>
        <v>34 Волгоградская область</v>
      </c>
      <c r="L38" s="289">
        <v>29802.03</v>
      </c>
      <c r="M38" s="10">
        <f>L38/164</f>
        <v>181.71969512195122</v>
      </c>
      <c r="N38" s="9">
        <f t="shared" si="4"/>
        <v>257.52299247985059</v>
      </c>
      <c r="O38" s="261">
        <f t="shared" si="11"/>
        <v>32420.291161064099</v>
      </c>
      <c r="P38" s="10">
        <f t="shared" si="12"/>
        <v>197.68470220161035</v>
      </c>
      <c r="R38" s="9">
        <f t="shared" si="13"/>
        <v>257.52299247985059</v>
      </c>
      <c r="S38" s="9">
        <f t="shared" si="14"/>
        <v>257.52299247985059</v>
      </c>
      <c r="W38" s="9">
        <f t="shared" si="15"/>
        <v>32420.291161064099</v>
      </c>
      <c r="X38" s="9">
        <f t="shared" si="16"/>
        <v>197.68470220161035</v>
      </c>
    </row>
    <row r="39" spans="1:24" x14ac:dyDescent="0.25">
      <c r="A39" s="7">
        <v>35</v>
      </c>
      <c r="B39" s="7">
        <v>35</v>
      </c>
      <c r="C39" s="16" t="s">
        <v>86</v>
      </c>
      <c r="D39" s="283">
        <v>48796.6</v>
      </c>
      <c r="E39" s="9">
        <f t="shared" si="17"/>
        <v>39037.279999999999</v>
      </c>
      <c r="F39" s="9">
        <f t="shared" si="7"/>
        <v>158.68813008130081</v>
      </c>
      <c r="G39" s="9">
        <f t="shared" si="8"/>
        <v>207.08800975609756</v>
      </c>
      <c r="H39" s="9">
        <f t="shared" si="9"/>
        <v>207.08800975609756</v>
      </c>
      <c r="K39" s="1" t="str">
        <f t="shared" si="18"/>
        <v>35 Вологодская область</v>
      </c>
      <c r="L39" s="289">
        <v>27093</v>
      </c>
      <c r="M39" s="10">
        <f t="shared" si="10"/>
        <v>165.20121951219511</v>
      </c>
      <c r="N39" s="9">
        <f t="shared" si="4"/>
        <v>234.11393234811831</v>
      </c>
      <c r="O39" s="261">
        <f t="shared" si="11"/>
        <v>29473.258983589698</v>
      </c>
      <c r="P39" s="10">
        <f t="shared" si="12"/>
        <v>179.7149938023762</v>
      </c>
      <c r="R39" s="9">
        <f t="shared" si="13"/>
        <v>234.11393234811831</v>
      </c>
      <c r="S39" s="9">
        <f t="shared" si="14"/>
        <v>234.11393234811831</v>
      </c>
      <c r="W39" s="9">
        <f t="shared" si="15"/>
        <v>39037.279999999999</v>
      </c>
      <c r="X39" s="9">
        <f t="shared" si="16"/>
        <v>179.7149938023762</v>
      </c>
    </row>
    <row r="40" spans="1:24" x14ac:dyDescent="0.25">
      <c r="A40" s="7">
        <v>36</v>
      </c>
      <c r="B40" s="7">
        <v>36</v>
      </c>
      <c r="C40" s="13" t="s">
        <v>70</v>
      </c>
      <c r="D40" s="283">
        <v>62927.199999999997</v>
      </c>
      <c r="E40" s="9">
        <f t="shared" si="17"/>
        <v>50341.760000000002</v>
      </c>
      <c r="F40" s="9">
        <f t="shared" si="7"/>
        <v>204.64130081300814</v>
      </c>
      <c r="G40" s="9">
        <f t="shared" si="8"/>
        <v>267.05689756097564</v>
      </c>
      <c r="H40" s="9">
        <f t="shared" si="9"/>
        <v>261.14088536585365</v>
      </c>
      <c r="K40" s="1" t="str">
        <f t="shared" si="18"/>
        <v>36 Воронежская область</v>
      </c>
      <c r="L40" s="289">
        <v>27093</v>
      </c>
      <c r="M40" s="10">
        <f t="shared" si="10"/>
        <v>165.20121951219511</v>
      </c>
      <c r="N40" s="9">
        <f t="shared" si="4"/>
        <v>234.11393234811831</v>
      </c>
      <c r="O40" s="261">
        <f t="shared" si="11"/>
        <v>29473.258983589698</v>
      </c>
      <c r="P40" s="10">
        <f t="shared" si="12"/>
        <v>179.7149938023762</v>
      </c>
      <c r="R40" s="9">
        <f t="shared" si="13"/>
        <v>267.05689756097564</v>
      </c>
      <c r="S40" s="9">
        <f t="shared" si="14"/>
        <v>261.14088536585365</v>
      </c>
      <c r="W40" s="9">
        <f t="shared" si="15"/>
        <v>50341.760000000002</v>
      </c>
      <c r="X40" s="9">
        <f t="shared" si="16"/>
        <v>204.64130081300814</v>
      </c>
    </row>
    <row r="41" spans="1:24" x14ac:dyDescent="0.25">
      <c r="A41" s="7">
        <v>37</v>
      </c>
      <c r="B41" s="7">
        <v>37</v>
      </c>
      <c r="C41" s="13" t="s">
        <v>71</v>
      </c>
      <c r="D41" s="283">
        <v>51879.8</v>
      </c>
      <c r="E41" s="9">
        <f t="shared" si="17"/>
        <v>41503.840000000004</v>
      </c>
      <c r="F41" s="9">
        <f t="shared" si="7"/>
        <v>168.71479674796748</v>
      </c>
      <c r="G41" s="9">
        <f t="shared" si="8"/>
        <v>220.17280975609756</v>
      </c>
      <c r="H41" s="9">
        <f t="shared" si="9"/>
        <v>219.6457731707317</v>
      </c>
      <c r="K41" s="1" t="str">
        <f t="shared" si="18"/>
        <v>37 Ивановская область</v>
      </c>
      <c r="L41" s="289">
        <v>27093</v>
      </c>
      <c r="M41" s="10">
        <f t="shared" si="10"/>
        <v>165.20121951219511</v>
      </c>
      <c r="N41" s="9">
        <f t="shared" si="4"/>
        <v>234.11393234811831</v>
      </c>
      <c r="O41" s="261">
        <f t="shared" si="11"/>
        <v>29473.258983589698</v>
      </c>
      <c r="P41" s="10">
        <f t="shared" si="12"/>
        <v>179.7149938023762</v>
      </c>
      <c r="R41" s="9">
        <f t="shared" si="13"/>
        <v>234.11393234811831</v>
      </c>
      <c r="S41" s="9">
        <f t="shared" si="14"/>
        <v>234.11393234811831</v>
      </c>
      <c r="W41" s="9">
        <f t="shared" si="15"/>
        <v>41503.840000000004</v>
      </c>
      <c r="X41" s="9">
        <f t="shared" si="16"/>
        <v>179.7149938023762</v>
      </c>
    </row>
    <row r="42" spans="1:24" x14ac:dyDescent="0.25">
      <c r="A42" s="7">
        <v>38</v>
      </c>
      <c r="B42" s="14">
        <v>38</v>
      </c>
      <c r="C42" s="16" t="s">
        <v>118</v>
      </c>
      <c r="D42" s="283">
        <v>60900</v>
      </c>
      <c r="E42" s="9">
        <f t="shared" si="17"/>
        <v>48720</v>
      </c>
      <c r="F42" s="9">
        <f t="shared" si="7"/>
        <v>198.04878048780489</v>
      </c>
      <c r="G42" s="9">
        <f t="shared" si="8"/>
        <v>258.45365853658535</v>
      </c>
      <c r="H42" s="9">
        <f t="shared" si="9"/>
        <v>253.52652439024391</v>
      </c>
      <c r="K42" s="1" t="str">
        <f t="shared" si="18"/>
        <v>38 Иркутская область</v>
      </c>
      <c r="L42" s="289">
        <v>29172</v>
      </c>
      <c r="M42" s="10">
        <f t="shared" si="10"/>
        <v>177.8780487804878</v>
      </c>
      <c r="N42" s="9">
        <f t="shared" si="4"/>
        <v>252.0788260605805</v>
      </c>
      <c r="O42" s="261">
        <f t="shared" si="11"/>
        <v>31734.909794754312</v>
      </c>
      <c r="P42" s="10">
        <f t="shared" si="12"/>
        <v>193.50554752898972</v>
      </c>
      <c r="R42" s="9">
        <f t="shared" si="13"/>
        <v>258.45365853658535</v>
      </c>
      <c r="S42" s="9">
        <f t="shared" si="14"/>
        <v>253.52652439024391</v>
      </c>
      <c r="W42" s="9">
        <f t="shared" si="15"/>
        <v>48720</v>
      </c>
      <c r="X42" s="9">
        <f t="shared" si="16"/>
        <v>198.04878048780489</v>
      </c>
    </row>
    <row r="43" spans="1:24" x14ac:dyDescent="0.25">
      <c r="A43" s="7">
        <v>39</v>
      </c>
      <c r="B43" s="7">
        <v>39</v>
      </c>
      <c r="C43" s="16" t="s">
        <v>87</v>
      </c>
      <c r="D43" s="283">
        <v>57967.3</v>
      </c>
      <c r="E43" s="9">
        <f t="shared" si="17"/>
        <v>46373.840000000004</v>
      </c>
      <c r="F43" s="9">
        <f t="shared" si="7"/>
        <v>188.51154471544717</v>
      </c>
      <c r="G43" s="9">
        <f t="shared" si="8"/>
        <v>246.00756585365855</v>
      </c>
      <c r="H43" s="9">
        <f t="shared" si="9"/>
        <v>242.51101707317073</v>
      </c>
      <c r="K43" s="1" t="str">
        <f t="shared" si="18"/>
        <v>39 Калининградская область</v>
      </c>
      <c r="L43" s="289">
        <v>28000</v>
      </c>
      <c r="M43" s="10">
        <f t="shared" si="10"/>
        <v>170.73170731707316</v>
      </c>
      <c r="N43" s="9">
        <f t="shared" si="4"/>
        <v>241.95143047087114</v>
      </c>
      <c r="O43" s="261">
        <f t="shared" si="11"/>
        <v>30459.943584708653</v>
      </c>
      <c r="P43" s="10">
        <f t="shared" si="12"/>
        <v>185.73136332139421</v>
      </c>
      <c r="R43" s="9">
        <f t="shared" si="13"/>
        <v>246.00756585365855</v>
      </c>
      <c r="S43" s="9">
        <f t="shared" si="14"/>
        <v>242.51101707317073</v>
      </c>
      <c r="W43" s="9">
        <f t="shared" si="15"/>
        <v>46373.840000000004</v>
      </c>
      <c r="X43" s="9">
        <f t="shared" si="16"/>
        <v>188.51154471544717</v>
      </c>
    </row>
    <row r="44" spans="1:24" x14ac:dyDescent="0.25">
      <c r="A44" s="7">
        <v>40</v>
      </c>
      <c r="B44" s="7">
        <v>40</v>
      </c>
      <c r="C44" s="13" t="s">
        <v>72</v>
      </c>
      <c r="D44" s="283">
        <v>43632.9</v>
      </c>
      <c r="E44" s="9">
        <f t="shared" si="17"/>
        <v>34906.32</v>
      </c>
      <c r="F44" s="9">
        <f t="shared" si="7"/>
        <v>141.89560975609757</v>
      </c>
      <c r="G44" s="9">
        <f t="shared" si="8"/>
        <v>185.17377073170732</v>
      </c>
      <c r="H44" s="9">
        <f t="shared" si="9"/>
        <v>185.17377073170732</v>
      </c>
      <c r="K44" s="1" t="str">
        <f t="shared" si="18"/>
        <v>40 Калужская область</v>
      </c>
      <c r="L44" s="289">
        <v>27093</v>
      </c>
      <c r="M44" s="10">
        <f t="shared" si="10"/>
        <v>165.20121951219511</v>
      </c>
      <c r="N44" s="9">
        <f t="shared" si="4"/>
        <v>234.11393234811831</v>
      </c>
      <c r="O44" s="261">
        <f t="shared" si="11"/>
        <v>29473.258983589698</v>
      </c>
      <c r="P44" s="10">
        <f t="shared" si="12"/>
        <v>179.7149938023762</v>
      </c>
      <c r="R44" s="9">
        <f t="shared" si="13"/>
        <v>234.11393234811831</v>
      </c>
      <c r="S44" s="9">
        <f t="shared" si="14"/>
        <v>234.11393234811831</v>
      </c>
      <c r="W44" s="9">
        <f t="shared" si="15"/>
        <v>34906.32</v>
      </c>
      <c r="X44" s="9">
        <f t="shared" si="16"/>
        <v>179.7149938023762</v>
      </c>
    </row>
    <row r="45" spans="1:24" x14ac:dyDescent="0.25">
      <c r="A45" s="7">
        <v>41</v>
      </c>
      <c r="B45" s="7">
        <v>41</v>
      </c>
      <c r="C45" s="16" t="s">
        <v>125</v>
      </c>
      <c r="D45" s="283">
        <v>97242.7</v>
      </c>
      <c r="E45" s="9">
        <f t="shared" si="17"/>
        <v>77794.16</v>
      </c>
      <c r="F45" s="9">
        <f t="shared" si="7"/>
        <v>316.23642276422765</v>
      </c>
      <c r="G45" s="9">
        <f t="shared" si="8"/>
        <v>412.68853170731705</v>
      </c>
      <c r="H45" s="9">
        <f t="shared" si="9"/>
        <v>390.03325121951218</v>
      </c>
      <c r="K45" s="1" t="str">
        <f t="shared" si="18"/>
        <v>41 Камчатский край</v>
      </c>
      <c r="L45" s="289">
        <v>42268.08</v>
      </c>
      <c r="M45" s="10">
        <f t="shared" si="10"/>
        <v>257.73219512195124</v>
      </c>
      <c r="N45" s="9">
        <f t="shared" si="4"/>
        <v>365.24365783061506</v>
      </c>
      <c r="O45" s="261">
        <f t="shared" si="11"/>
        <v>45981.547579784004</v>
      </c>
      <c r="P45" s="10">
        <f t="shared" si="12"/>
        <v>280.37529012063419</v>
      </c>
      <c r="R45" s="9">
        <f t="shared" si="13"/>
        <v>412.68853170731705</v>
      </c>
      <c r="S45" s="9">
        <f t="shared" si="14"/>
        <v>390.03325121951218</v>
      </c>
      <c r="W45" s="9">
        <f t="shared" si="15"/>
        <v>77794.16</v>
      </c>
      <c r="X45" s="9">
        <f t="shared" si="16"/>
        <v>316.23642276422765</v>
      </c>
    </row>
    <row r="46" spans="1:24" x14ac:dyDescent="0.25">
      <c r="A46" s="7">
        <v>42</v>
      </c>
      <c r="B46" s="7">
        <v>42</v>
      </c>
      <c r="C46" s="16" t="s">
        <v>133</v>
      </c>
      <c r="D46" s="283">
        <v>41880.800000000003</v>
      </c>
      <c r="E46" s="9">
        <f t="shared" si="17"/>
        <v>33504.640000000007</v>
      </c>
      <c r="F46" s="9">
        <f t="shared" si="7"/>
        <v>136.19772357723579</v>
      </c>
      <c r="G46" s="9">
        <f t="shared" si="8"/>
        <v>177.73802926829271</v>
      </c>
      <c r="H46" s="9">
        <f t="shared" si="9"/>
        <v>177.73802926829271</v>
      </c>
      <c r="K46" s="1" t="str">
        <f t="shared" si="18"/>
        <v>42 Кемеровская область - Кузбасс</v>
      </c>
      <c r="L46" s="290">
        <v>32511.599999999999</v>
      </c>
      <c r="M46" s="10">
        <f t="shared" si="10"/>
        <v>198.24146341463413</v>
      </c>
      <c r="N46" s="9">
        <f t="shared" si="4"/>
        <v>280.93671881774191</v>
      </c>
      <c r="O46" s="261">
        <f t="shared" si="11"/>
        <v>35367.910780307633</v>
      </c>
      <c r="P46" s="10">
        <f t="shared" si="12"/>
        <v>215.6579925628514</v>
      </c>
      <c r="R46" s="9">
        <f t="shared" si="13"/>
        <v>280.93671881774191</v>
      </c>
      <c r="S46" s="9">
        <f t="shared" si="14"/>
        <v>280.93671881774191</v>
      </c>
      <c r="W46" s="9">
        <f t="shared" si="15"/>
        <v>35367.910780307633</v>
      </c>
      <c r="X46" s="9">
        <f t="shared" si="16"/>
        <v>215.6579925628514</v>
      </c>
    </row>
    <row r="47" spans="1:24" x14ac:dyDescent="0.25">
      <c r="A47" s="7">
        <v>43</v>
      </c>
      <c r="B47" s="8" t="s">
        <v>171</v>
      </c>
      <c r="C47" s="16" t="s">
        <v>103</v>
      </c>
      <c r="D47" s="283">
        <v>44153.9</v>
      </c>
      <c r="E47" s="9">
        <f t="shared" si="17"/>
        <v>35323.120000000003</v>
      </c>
      <c r="F47" s="9">
        <f t="shared" si="7"/>
        <v>143.589918699187</v>
      </c>
      <c r="G47" s="9">
        <f t="shared" si="8"/>
        <v>187.38484390243903</v>
      </c>
      <c r="H47" s="9">
        <f t="shared" si="9"/>
        <v>187.38484390243903</v>
      </c>
      <c r="K47" s="1" t="str">
        <f t="shared" si="18"/>
        <v>43 Кировская область</v>
      </c>
      <c r="L47" s="289">
        <v>28447.65</v>
      </c>
      <c r="M47" s="10">
        <f t="shared" si="10"/>
        <v>173.46128048780488</v>
      </c>
      <c r="N47" s="9">
        <f t="shared" si="4"/>
        <v>245.8196289655242</v>
      </c>
      <c r="O47" s="261">
        <f t="shared" si="11"/>
        <v>30946.921932769179</v>
      </c>
      <c r="P47" s="10">
        <f t="shared" si="12"/>
        <v>188.70074349249501</v>
      </c>
      <c r="R47" s="9">
        <f t="shared" si="13"/>
        <v>245.8196289655242</v>
      </c>
      <c r="S47" s="9">
        <f t="shared" si="14"/>
        <v>245.8196289655242</v>
      </c>
      <c r="W47" s="9">
        <f t="shared" si="15"/>
        <v>35323.120000000003</v>
      </c>
      <c r="X47" s="9">
        <f t="shared" si="16"/>
        <v>188.70074349249501</v>
      </c>
    </row>
    <row r="48" spans="1:24" x14ac:dyDescent="0.25">
      <c r="A48" s="7">
        <v>44</v>
      </c>
      <c r="B48" s="7">
        <v>44</v>
      </c>
      <c r="C48" s="13" t="s">
        <v>73</v>
      </c>
      <c r="D48" s="283">
        <v>36757.800000000003</v>
      </c>
      <c r="E48" s="9">
        <f t="shared" si="17"/>
        <v>29406.240000000005</v>
      </c>
      <c r="F48" s="9">
        <f t="shared" si="7"/>
        <v>119.53756097560978</v>
      </c>
      <c r="G48" s="9">
        <f t="shared" si="8"/>
        <v>155.99651707317076</v>
      </c>
      <c r="H48" s="9">
        <f t="shared" si="9"/>
        <v>155.99651707317076</v>
      </c>
      <c r="K48" s="1" t="str">
        <f t="shared" si="18"/>
        <v>44 Костромская область</v>
      </c>
      <c r="L48" s="289">
        <v>27093</v>
      </c>
      <c r="M48" s="10">
        <f t="shared" si="10"/>
        <v>165.20121951219511</v>
      </c>
      <c r="N48" s="9">
        <f t="shared" si="4"/>
        <v>234.11393234811831</v>
      </c>
      <c r="O48" s="261">
        <f t="shared" si="11"/>
        <v>29473.258983589698</v>
      </c>
      <c r="P48" s="10">
        <f t="shared" si="12"/>
        <v>179.7149938023762</v>
      </c>
      <c r="R48" s="9">
        <f t="shared" si="13"/>
        <v>234.11393234811831</v>
      </c>
      <c r="S48" s="9">
        <f t="shared" si="14"/>
        <v>234.11393234811831</v>
      </c>
      <c r="W48" s="9">
        <f t="shared" si="15"/>
        <v>29473.258983589698</v>
      </c>
      <c r="X48" s="9">
        <f t="shared" si="16"/>
        <v>179.7149938023762</v>
      </c>
    </row>
    <row r="49" spans="1:24" x14ac:dyDescent="0.25">
      <c r="A49" s="7">
        <v>45</v>
      </c>
      <c r="B49" s="8" t="s">
        <v>172</v>
      </c>
      <c r="C49" s="16" t="s">
        <v>110</v>
      </c>
      <c r="D49" s="283">
        <v>45188.1</v>
      </c>
      <c r="E49" s="9">
        <f t="shared" si="17"/>
        <v>36150.480000000003</v>
      </c>
      <c r="F49" s="9">
        <f t="shared" si="7"/>
        <v>146.95317073170733</v>
      </c>
      <c r="G49" s="9">
        <f t="shared" si="8"/>
        <v>191.77388780487806</v>
      </c>
      <c r="H49" s="9">
        <f t="shared" si="9"/>
        <v>191.77388780487806</v>
      </c>
      <c r="K49" s="1" t="str">
        <f t="shared" si="18"/>
        <v>45 Курганская область</v>
      </c>
      <c r="L49" s="289">
        <v>27100</v>
      </c>
      <c r="M49" s="10">
        <f t="shared" si="10"/>
        <v>165.2439024390244</v>
      </c>
      <c r="N49" s="9">
        <f t="shared" si="4"/>
        <v>234.174420205736</v>
      </c>
      <c r="O49" s="261">
        <f t="shared" si="11"/>
        <v>29480.873969485874</v>
      </c>
      <c r="P49" s="10">
        <f t="shared" si="12"/>
        <v>179.76142664320653</v>
      </c>
      <c r="R49" s="9">
        <f t="shared" si="13"/>
        <v>234.174420205736</v>
      </c>
      <c r="S49" s="9">
        <f t="shared" si="14"/>
        <v>234.174420205736</v>
      </c>
      <c r="W49" s="9">
        <f t="shared" si="15"/>
        <v>36150.480000000003</v>
      </c>
      <c r="X49" s="9">
        <f t="shared" si="16"/>
        <v>179.76142664320653</v>
      </c>
    </row>
    <row r="50" spans="1:24" x14ac:dyDescent="0.25">
      <c r="A50" s="7">
        <v>46</v>
      </c>
      <c r="B50" s="7">
        <v>46</v>
      </c>
      <c r="C50" s="13" t="s">
        <v>74</v>
      </c>
      <c r="D50" s="283">
        <v>41427.4</v>
      </c>
      <c r="E50" s="9">
        <f t="shared" si="17"/>
        <v>33141.920000000006</v>
      </c>
      <c r="F50" s="9">
        <f t="shared" si="7"/>
        <v>134.72325203252035</v>
      </c>
      <c r="G50" s="9">
        <f t="shared" si="8"/>
        <v>175.81384390243906</v>
      </c>
      <c r="H50" s="9">
        <f t="shared" si="9"/>
        <v>175.81384390243906</v>
      </c>
      <c r="K50" s="1" t="str">
        <f t="shared" si="18"/>
        <v>46 Курская область</v>
      </c>
      <c r="L50" s="289">
        <v>27093</v>
      </c>
      <c r="M50" s="10">
        <f t="shared" si="10"/>
        <v>165.20121951219511</v>
      </c>
      <c r="N50" s="9">
        <f t="shared" si="4"/>
        <v>234.11393234811831</v>
      </c>
      <c r="O50" s="261">
        <f t="shared" si="11"/>
        <v>29473.258983589698</v>
      </c>
      <c r="P50" s="10">
        <f t="shared" si="12"/>
        <v>179.7149938023762</v>
      </c>
      <c r="R50" s="9">
        <f t="shared" si="13"/>
        <v>234.11393234811831</v>
      </c>
      <c r="S50" s="9">
        <f t="shared" si="14"/>
        <v>234.11393234811831</v>
      </c>
      <c r="W50" s="9">
        <f t="shared" si="15"/>
        <v>33141.920000000006</v>
      </c>
      <c r="X50" s="9">
        <f t="shared" si="16"/>
        <v>179.7149938023762</v>
      </c>
    </row>
    <row r="51" spans="1:24" x14ac:dyDescent="0.25">
      <c r="A51" s="7">
        <v>47</v>
      </c>
      <c r="B51" s="7">
        <v>47</v>
      </c>
      <c r="C51" s="16" t="s">
        <v>88</v>
      </c>
      <c r="D51" s="283">
        <v>62946.400000000001</v>
      </c>
      <c r="E51" s="9">
        <f t="shared" si="17"/>
        <v>50357.120000000003</v>
      </c>
      <c r="F51" s="9">
        <f t="shared" si="7"/>
        <v>204.70373983739839</v>
      </c>
      <c r="G51" s="9">
        <f t="shared" si="8"/>
        <v>267.13838048780491</v>
      </c>
      <c r="H51" s="9">
        <f t="shared" si="9"/>
        <v>261.21300243902442</v>
      </c>
      <c r="K51" s="1" t="str">
        <f t="shared" si="18"/>
        <v>47 Ленинградская область</v>
      </c>
      <c r="L51" s="289">
        <v>27440</v>
      </c>
      <c r="M51" s="10">
        <f t="shared" si="10"/>
        <v>167.3170731707317</v>
      </c>
      <c r="N51" s="9">
        <f t="shared" si="4"/>
        <v>237.11240186145372</v>
      </c>
      <c r="O51" s="261">
        <f t="shared" si="11"/>
        <v>29850.744713014479</v>
      </c>
      <c r="P51" s="10">
        <f t="shared" si="12"/>
        <v>182.01673605496632</v>
      </c>
      <c r="R51" s="9">
        <f t="shared" si="13"/>
        <v>267.13838048780491</v>
      </c>
      <c r="S51" s="9">
        <f t="shared" si="14"/>
        <v>261.21300243902442</v>
      </c>
      <c r="W51" s="9">
        <f t="shared" si="15"/>
        <v>50357.120000000003</v>
      </c>
      <c r="X51" s="9">
        <f t="shared" si="16"/>
        <v>204.70373983739839</v>
      </c>
    </row>
    <row r="52" spans="1:24" x14ac:dyDescent="0.25">
      <c r="A52" s="7">
        <v>48</v>
      </c>
      <c r="B52" s="7">
        <v>48</v>
      </c>
      <c r="C52" s="13" t="s">
        <v>75</v>
      </c>
      <c r="D52" s="283">
        <v>53714.400000000001</v>
      </c>
      <c r="E52" s="9">
        <f t="shared" si="17"/>
        <v>42971.520000000004</v>
      </c>
      <c r="F52" s="9">
        <f t="shared" si="7"/>
        <v>174.6809756097561</v>
      </c>
      <c r="G52" s="9">
        <f t="shared" si="8"/>
        <v>227.95867317073171</v>
      </c>
      <c r="H52" s="9">
        <f t="shared" si="9"/>
        <v>226.53670975609757</v>
      </c>
      <c r="K52" s="1" t="str">
        <f t="shared" si="18"/>
        <v>48 Липецкая область</v>
      </c>
      <c r="L52" s="289">
        <v>27093</v>
      </c>
      <c r="M52" s="10">
        <f t="shared" si="10"/>
        <v>165.20121951219511</v>
      </c>
      <c r="N52" s="9">
        <f t="shared" si="4"/>
        <v>234.11393234811831</v>
      </c>
      <c r="O52" s="261">
        <f t="shared" si="11"/>
        <v>29473.258983589698</v>
      </c>
      <c r="P52" s="10">
        <f t="shared" si="12"/>
        <v>179.7149938023762</v>
      </c>
      <c r="R52" s="9">
        <f t="shared" si="13"/>
        <v>234.11393234811831</v>
      </c>
      <c r="S52" s="9">
        <f t="shared" si="14"/>
        <v>234.11393234811831</v>
      </c>
      <c r="W52" s="9">
        <f t="shared" si="15"/>
        <v>42971.520000000004</v>
      </c>
      <c r="X52" s="9">
        <f t="shared" si="16"/>
        <v>179.7149938023762</v>
      </c>
    </row>
    <row r="53" spans="1:24" x14ac:dyDescent="0.25">
      <c r="A53" s="7">
        <v>49</v>
      </c>
      <c r="B53" s="7">
        <v>49</v>
      </c>
      <c r="C53" s="16" t="s">
        <v>129</v>
      </c>
      <c r="D53" s="283">
        <v>72410.399999999994</v>
      </c>
      <c r="E53" s="9">
        <f t="shared" si="17"/>
        <v>57928.32</v>
      </c>
      <c r="F53" s="9">
        <f t="shared" si="7"/>
        <v>235.48097560975609</v>
      </c>
      <c r="G53" s="9">
        <f t="shared" si="8"/>
        <v>307.30267317073168</v>
      </c>
      <c r="H53" s="9">
        <f>IF(F53&gt;$M$5,$M$5*1.305+(F53-$M$5)*1.155,F53*1.305)</f>
        <v>296.76070975609753</v>
      </c>
      <c r="K53" s="1" t="str">
        <f t="shared" si="18"/>
        <v>49 Магаданская область</v>
      </c>
      <c r="L53" s="289">
        <v>27093</v>
      </c>
      <c r="M53" s="10">
        <f t="shared" si="10"/>
        <v>165.20121951219511</v>
      </c>
      <c r="N53" s="9">
        <f t="shared" si="4"/>
        <v>234.11393234811831</v>
      </c>
      <c r="O53" s="261">
        <f t="shared" si="11"/>
        <v>29473.258983589698</v>
      </c>
      <c r="P53" s="10">
        <f t="shared" si="12"/>
        <v>179.7149938023762</v>
      </c>
      <c r="R53" s="9">
        <f t="shared" si="13"/>
        <v>307.30267317073168</v>
      </c>
      <c r="S53" s="9">
        <f t="shared" si="14"/>
        <v>296.76070975609753</v>
      </c>
      <c r="W53" s="9">
        <f t="shared" si="15"/>
        <v>57928.32</v>
      </c>
      <c r="X53" s="9">
        <f t="shared" si="16"/>
        <v>235.48097560975609</v>
      </c>
    </row>
    <row r="54" spans="1:24" x14ac:dyDescent="0.25">
      <c r="A54" s="7">
        <v>50</v>
      </c>
      <c r="B54" s="15">
        <v>50</v>
      </c>
      <c r="C54" s="13" t="s">
        <v>132</v>
      </c>
      <c r="D54" s="283">
        <v>75914.3</v>
      </c>
      <c r="E54" s="9">
        <f t="shared" si="17"/>
        <v>60731.44</v>
      </c>
      <c r="F54" s="9">
        <f t="shared" si="7"/>
        <v>246.87577235772358</v>
      </c>
      <c r="G54" s="9">
        <f t="shared" si="8"/>
        <v>322.17288292682923</v>
      </c>
      <c r="H54" s="9">
        <f t="shared" si="9"/>
        <v>309.92169999999999</v>
      </c>
      <c r="K54" s="1" t="str">
        <f t="shared" si="18"/>
        <v>50 Московская область</v>
      </c>
      <c r="L54" s="289">
        <v>27800</v>
      </c>
      <c r="M54" s="10">
        <f t="shared" si="10"/>
        <v>169.51219512195121</v>
      </c>
      <c r="N54" s="9">
        <f t="shared" si="4"/>
        <v>240.22320596750779</v>
      </c>
      <c r="O54" s="261">
        <f t="shared" si="11"/>
        <v>30242.372559103591</v>
      </c>
      <c r="P54" s="10">
        <f t="shared" si="12"/>
        <v>184.4047107262414</v>
      </c>
      <c r="R54" s="9">
        <f t="shared" si="13"/>
        <v>322.17288292682923</v>
      </c>
      <c r="S54" s="9">
        <f t="shared" si="14"/>
        <v>309.92169999999999</v>
      </c>
      <c r="W54" s="9">
        <f t="shared" si="15"/>
        <v>60731.44</v>
      </c>
      <c r="X54" s="9">
        <f t="shared" si="16"/>
        <v>246.87577235772358</v>
      </c>
    </row>
    <row r="55" spans="1:24" x14ac:dyDescent="0.25">
      <c r="A55" s="7">
        <v>51</v>
      </c>
      <c r="B55" s="7">
        <v>51</v>
      </c>
      <c r="C55" s="16" t="s">
        <v>89</v>
      </c>
      <c r="D55" s="283">
        <v>71940.399999999994</v>
      </c>
      <c r="E55" s="9">
        <f t="shared" si="17"/>
        <v>57552.32</v>
      </c>
      <c r="F55" s="9">
        <f t="shared" si="7"/>
        <v>233.95252032520324</v>
      </c>
      <c r="G55" s="9">
        <f t="shared" si="8"/>
        <v>305.30803902439021</v>
      </c>
      <c r="H55" s="9">
        <f t="shared" si="9"/>
        <v>294.995343902439</v>
      </c>
      <c r="K55" s="1" t="str">
        <f t="shared" si="18"/>
        <v>51 Мурманская область</v>
      </c>
      <c r="L55" s="289">
        <v>27093</v>
      </c>
      <c r="M55" s="10">
        <f t="shared" si="10"/>
        <v>165.20121951219511</v>
      </c>
      <c r="N55" s="9">
        <f t="shared" si="4"/>
        <v>234.11393234811831</v>
      </c>
      <c r="O55" s="261">
        <f t="shared" si="11"/>
        <v>29473.258983589698</v>
      </c>
      <c r="P55" s="10">
        <f t="shared" si="12"/>
        <v>179.7149938023762</v>
      </c>
      <c r="R55" s="9">
        <f t="shared" si="13"/>
        <v>305.30803902439021</v>
      </c>
      <c r="S55" s="9">
        <f t="shared" si="14"/>
        <v>294.995343902439</v>
      </c>
      <c r="W55" s="9">
        <f t="shared" si="15"/>
        <v>57552.32</v>
      </c>
      <c r="X55" s="9">
        <f t="shared" si="16"/>
        <v>233.95252032520324</v>
      </c>
    </row>
    <row r="56" spans="1:24" x14ac:dyDescent="0.25">
      <c r="A56" s="7">
        <v>52</v>
      </c>
      <c r="B56" s="8" t="s">
        <v>173</v>
      </c>
      <c r="C56" s="16" t="s">
        <v>104</v>
      </c>
      <c r="D56" s="283">
        <v>41756.5</v>
      </c>
      <c r="E56" s="9">
        <f t="shared" si="17"/>
        <v>33405.200000000004</v>
      </c>
      <c r="F56" s="9">
        <f t="shared" si="7"/>
        <v>135.79349593495937</v>
      </c>
      <c r="G56" s="9">
        <f t="shared" si="8"/>
        <v>177.21051219512196</v>
      </c>
      <c r="H56" s="9">
        <f t="shared" si="9"/>
        <v>177.21051219512196</v>
      </c>
      <c r="K56" s="1" t="str">
        <f t="shared" si="18"/>
        <v>52 Нижегородская область</v>
      </c>
      <c r="L56" s="289">
        <v>27093</v>
      </c>
      <c r="M56" s="10">
        <f t="shared" si="10"/>
        <v>165.20121951219511</v>
      </c>
      <c r="N56" s="9">
        <f t="shared" si="4"/>
        <v>234.11393234811831</v>
      </c>
      <c r="O56" s="261">
        <f t="shared" si="11"/>
        <v>29473.258983589698</v>
      </c>
      <c r="P56" s="10">
        <f t="shared" si="12"/>
        <v>179.7149938023762</v>
      </c>
      <c r="R56" s="9">
        <f t="shared" si="13"/>
        <v>234.11393234811831</v>
      </c>
      <c r="S56" s="9">
        <f t="shared" si="14"/>
        <v>234.11393234811831</v>
      </c>
      <c r="W56" s="9">
        <f t="shared" si="15"/>
        <v>33405.200000000004</v>
      </c>
      <c r="X56" s="9">
        <f t="shared" si="16"/>
        <v>179.7149938023762</v>
      </c>
    </row>
    <row r="57" spans="1:24" x14ac:dyDescent="0.25">
      <c r="A57" s="7">
        <v>53</v>
      </c>
      <c r="B57" s="7">
        <v>53</v>
      </c>
      <c r="C57" s="16" t="s">
        <v>90</v>
      </c>
      <c r="D57" s="283">
        <v>29230.9</v>
      </c>
      <c r="E57" s="9">
        <f t="shared" si="17"/>
        <v>23384.720000000001</v>
      </c>
      <c r="F57" s="9">
        <f t="shared" si="7"/>
        <v>95.059837398373986</v>
      </c>
      <c r="G57" s="9">
        <f t="shared" si="8"/>
        <v>124.05308780487805</v>
      </c>
      <c r="H57" s="9">
        <f t="shared" si="9"/>
        <v>124.05308780487805</v>
      </c>
      <c r="K57" s="1" t="str">
        <f t="shared" si="18"/>
        <v>53 Новгородская область</v>
      </c>
      <c r="L57" s="289">
        <v>27093</v>
      </c>
      <c r="M57" s="10">
        <f t="shared" si="10"/>
        <v>165.20121951219511</v>
      </c>
      <c r="N57" s="9">
        <f t="shared" si="4"/>
        <v>234.11393234811831</v>
      </c>
      <c r="O57" s="261">
        <f t="shared" si="11"/>
        <v>29473.258983589698</v>
      </c>
      <c r="P57" s="10">
        <f t="shared" si="12"/>
        <v>179.7149938023762</v>
      </c>
      <c r="R57" s="9">
        <f t="shared" si="13"/>
        <v>234.11393234811831</v>
      </c>
      <c r="S57" s="9">
        <f t="shared" si="14"/>
        <v>234.11393234811831</v>
      </c>
      <c r="W57" s="9">
        <f t="shared" si="15"/>
        <v>29473.258983589698</v>
      </c>
      <c r="X57" s="9">
        <f t="shared" si="16"/>
        <v>179.7149938023762</v>
      </c>
    </row>
    <row r="58" spans="1:24" x14ac:dyDescent="0.25">
      <c r="A58" s="7">
        <v>54</v>
      </c>
      <c r="B58" s="7">
        <v>54</v>
      </c>
      <c r="C58" s="16" t="s">
        <v>119</v>
      </c>
      <c r="D58" s="283">
        <v>56635.199999999997</v>
      </c>
      <c r="E58" s="9">
        <f t="shared" si="17"/>
        <v>45308.160000000003</v>
      </c>
      <c r="F58" s="9">
        <f t="shared" si="7"/>
        <v>184.17951219512196</v>
      </c>
      <c r="G58" s="9">
        <f t="shared" si="8"/>
        <v>240.35426341463415</v>
      </c>
      <c r="H58" s="9">
        <f t="shared" si="9"/>
        <v>237.50751951219513</v>
      </c>
      <c r="K58" s="1" t="str">
        <f t="shared" si="18"/>
        <v>54 Новосибирская область</v>
      </c>
      <c r="L58" s="289">
        <v>33866.65</v>
      </c>
      <c r="M58" s="10">
        <f t="shared" si="10"/>
        <v>206.50396341463414</v>
      </c>
      <c r="N58" s="9">
        <f t="shared" si="4"/>
        <v>292.64587188415459</v>
      </c>
      <c r="O58" s="261">
        <f t="shared" si="11"/>
        <v>36842.008871538332</v>
      </c>
      <c r="P58" s="10">
        <f t="shared" si="12"/>
        <v>224.64639555816052</v>
      </c>
      <c r="R58" s="9">
        <f t="shared" si="13"/>
        <v>292.64587188415459</v>
      </c>
      <c r="S58" s="9">
        <f t="shared" si="14"/>
        <v>292.64587188415459</v>
      </c>
      <c r="W58" s="9">
        <f t="shared" si="15"/>
        <v>45308.160000000003</v>
      </c>
      <c r="X58" s="9">
        <f t="shared" si="16"/>
        <v>224.64639555816052</v>
      </c>
    </row>
    <row r="59" spans="1:24" x14ac:dyDescent="0.25">
      <c r="A59" s="7">
        <v>55</v>
      </c>
      <c r="B59" s="7">
        <v>55</v>
      </c>
      <c r="C59" s="16" t="s">
        <v>120</v>
      </c>
      <c r="D59" s="283">
        <v>38572.1</v>
      </c>
      <c r="E59" s="9">
        <f t="shared" si="17"/>
        <v>30857.68</v>
      </c>
      <c r="F59" s="9">
        <f t="shared" si="7"/>
        <v>125.43772357723577</v>
      </c>
      <c r="G59" s="9">
        <f t="shared" si="8"/>
        <v>163.69622926829268</v>
      </c>
      <c r="H59" s="9">
        <f t="shared" si="9"/>
        <v>163.69622926829268</v>
      </c>
      <c r="K59" s="1" t="str">
        <f t="shared" si="18"/>
        <v>55 Омская область</v>
      </c>
      <c r="L59" s="289">
        <v>31498.5</v>
      </c>
      <c r="M59" s="10">
        <f t="shared" si="10"/>
        <v>192.0640243902439</v>
      </c>
      <c r="N59" s="9">
        <f t="shared" si="4"/>
        <v>272.1823975959548</v>
      </c>
      <c r="O59" s="261">
        <f t="shared" si="11"/>
        <v>34265.804750105199</v>
      </c>
      <c r="P59" s="10">
        <f t="shared" si="12"/>
        <v>208.93783384210482</v>
      </c>
      <c r="R59" s="9">
        <f t="shared" si="13"/>
        <v>272.1823975959548</v>
      </c>
      <c r="S59" s="9">
        <f t="shared" si="14"/>
        <v>272.1823975959548</v>
      </c>
      <c r="W59" s="9">
        <f t="shared" si="15"/>
        <v>34265.804750105199</v>
      </c>
      <c r="X59" s="9">
        <f t="shared" si="16"/>
        <v>208.93783384210482</v>
      </c>
    </row>
    <row r="60" spans="1:24" x14ac:dyDescent="0.25">
      <c r="A60" s="7">
        <v>56</v>
      </c>
      <c r="B60" s="8" t="s">
        <v>174</v>
      </c>
      <c r="C60" s="16" t="s">
        <v>105</v>
      </c>
      <c r="D60" s="283">
        <v>41849.4</v>
      </c>
      <c r="E60" s="9">
        <f t="shared" si="17"/>
        <v>33479.520000000004</v>
      </c>
      <c r="F60" s="9">
        <f t="shared" si="7"/>
        <v>136.09560975609759</v>
      </c>
      <c r="G60" s="9">
        <f t="shared" si="8"/>
        <v>177.60477073170733</v>
      </c>
      <c r="H60" s="9">
        <f t="shared" si="9"/>
        <v>177.60477073170733</v>
      </c>
      <c r="K60" s="1" t="str">
        <f t="shared" si="18"/>
        <v>56 Оренбургская область</v>
      </c>
      <c r="L60" s="289">
        <v>31156.95</v>
      </c>
      <c r="M60" s="10">
        <f t="shared" si="10"/>
        <v>189.98140243902441</v>
      </c>
      <c r="N60" s="9">
        <f t="shared" si="4"/>
        <v>269.23102220033604</v>
      </c>
      <c r="O60" s="261">
        <f t="shared" si="11"/>
        <v>33894.247831128145</v>
      </c>
      <c r="P60" s="10">
        <f t="shared" si="12"/>
        <v>206.67224287273262</v>
      </c>
      <c r="R60" s="9">
        <f t="shared" si="13"/>
        <v>269.23102220033604</v>
      </c>
      <c r="S60" s="9">
        <f t="shared" si="14"/>
        <v>269.23102220033604</v>
      </c>
      <c r="W60" s="9">
        <f t="shared" si="15"/>
        <v>33894.247831128145</v>
      </c>
      <c r="X60" s="9">
        <f t="shared" si="16"/>
        <v>206.67224287273262</v>
      </c>
    </row>
    <row r="61" spans="1:24" x14ac:dyDescent="0.25">
      <c r="A61" s="7">
        <v>57</v>
      </c>
      <c r="B61" s="7">
        <v>57</v>
      </c>
      <c r="C61" s="13" t="s">
        <v>76</v>
      </c>
      <c r="D61" s="283">
        <v>31728.400000000001</v>
      </c>
      <c r="E61" s="9">
        <f t="shared" si="17"/>
        <v>25382.720000000001</v>
      </c>
      <c r="F61" s="9">
        <f t="shared" si="7"/>
        <v>103.18178861788618</v>
      </c>
      <c r="G61" s="9">
        <f t="shared" si="8"/>
        <v>134.65223414634147</v>
      </c>
      <c r="H61" s="9">
        <f t="shared" si="9"/>
        <v>134.65223414634147</v>
      </c>
      <c r="K61" s="1" t="str">
        <f t="shared" si="18"/>
        <v>57 Орловская область</v>
      </c>
      <c r="L61" s="289">
        <v>27093</v>
      </c>
      <c r="M61" s="10">
        <f t="shared" si="10"/>
        <v>165.20121951219511</v>
      </c>
      <c r="N61" s="9">
        <f t="shared" si="4"/>
        <v>234.11393234811831</v>
      </c>
      <c r="O61" s="261">
        <f t="shared" si="11"/>
        <v>29473.258983589698</v>
      </c>
      <c r="P61" s="10">
        <f t="shared" si="12"/>
        <v>179.7149938023762</v>
      </c>
      <c r="R61" s="9">
        <f t="shared" si="13"/>
        <v>234.11393234811831</v>
      </c>
      <c r="S61" s="9">
        <f t="shared" si="14"/>
        <v>234.11393234811831</v>
      </c>
      <c r="W61" s="9">
        <f t="shared" si="15"/>
        <v>29473.258983589698</v>
      </c>
      <c r="X61" s="9">
        <f t="shared" si="16"/>
        <v>179.7149938023762</v>
      </c>
    </row>
    <row r="62" spans="1:24" x14ac:dyDescent="0.25">
      <c r="A62" s="7">
        <v>58</v>
      </c>
      <c r="B62" s="8" t="s">
        <v>175</v>
      </c>
      <c r="C62" s="16" t="s">
        <v>106</v>
      </c>
      <c r="D62" s="283">
        <v>44901.7</v>
      </c>
      <c r="E62" s="9">
        <f t="shared" si="17"/>
        <v>35921.360000000001</v>
      </c>
      <c r="F62" s="9">
        <f t="shared" si="7"/>
        <v>146.02178861788619</v>
      </c>
      <c r="G62" s="9">
        <f t="shared" si="8"/>
        <v>190.55843414634145</v>
      </c>
      <c r="H62" s="9">
        <f t="shared" si="9"/>
        <v>190.55843414634145</v>
      </c>
      <c r="K62" s="1" t="str">
        <f t="shared" si="18"/>
        <v>58 Пензенская область</v>
      </c>
      <c r="L62" s="289">
        <v>27093</v>
      </c>
      <c r="M62" s="10">
        <f t="shared" si="10"/>
        <v>165.20121951219511</v>
      </c>
      <c r="N62" s="9">
        <f t="shared" si="4"/>
        <v>234.11393234811831</v>
      </c>
      <c r="O62" s="261">
        <f t="shared" si="11"/>
        <v>29473.258983589698</v>
      </c>
      <c r="P62" s="10">
        <f t="shared" si="12"/>
        <v>179.7149938023762</v>
      </c>
      <c r="R62" s="9">
        <f t="shared" si="13"/>
        <v>234.11393234811831</v>
      </c>
      <c r="S62" s="9">
        <f t="shared" si="14"/>
        <v>234.11393234811831</v>
      </c>
      <c r="W62" s="9">
        <f t="shared" si="15"/>
        <v>35921.360000000001</v>
      </c>
      <c r="X62" s="9">
        <f t="shared" si="16"/>
        <v>179.7149938023762</v>
      </c>
    </row>
    <row r="63" spans="1:24" x14ac:dyDescent="0.25">
      <c r="A63" s="7">
        <v>59</v>
      </c>
      <c r="B63" s="8" t="s">
        <v>176</v>
      </c>
      <c r="C63" s="16" t="s">
        <v>102</v>
      </c>
      <c r="D63" s="283">
        <v>36790.699999999997</v>
      </c>
      <c r="E63" s="9">
        <f t="shared" si="17"/>
        <v>29432.559999999998</v>
      </c>
      <c r="F63" s="9">
        <f t="shared" si="7"/>
        <v>119.64455284552845</v>
      </c>
      <c r="G63" s="9">
        <f t="shared" si="8"/>
        <v>156.13614146341462</v>
      </c>
      <c r="H63" s="9">
        <f t="shared" si="9"/>
        <v>156.13614146341462</v>
      </c>
      <c r="K63" s="1" t="str">
        <f t="shared" si="18"/>
        <v>59 Пермский край</v>
      </c>
      <c r="L63" s="289">
        <v>27093</v>
      </c>
      <c r="M63" s="10">
        <f t="shared" si="10"/>
        <v>165.20121951219511</v>
      </c>
      <c r="N63" s="9">
        <f t="shared" si="4"/>
        <v>234.11393234811831</v>
      </c>
      <c r="O63" s="261">
        <f t="shared" si="11"/>
        <v>29473.258983589698</v>
      </c>
      <c r="P63" s="10">
        <f t="shared" si="12"/>
        <v>179.7149938023762</v>
      </c>
      <c r="R63" s="9">
        <f t="shared" si="13"/>
        <v>234.11393234811831</v>
      </c>
      <c r="S63" s="9">
        <f t="shared" si="14"/>
        <v>234.11393234811831</v>
      </c>
      <c r="W63" s="9">
        <f t="shared" si="15"/>
        <v>29473.258983589698</v>
      </c>
      <c r="X63" s="9">
        <f t="shared" si="16"/>
        <v>179.7149938023762</v>
      </c>
    </row>
    <row r="64" spans="1:24" x14ac:dyDescent="0.25">
      <c r="A64" s="7">
        <v>60</v>
      </c>
      <c r="B64" s="7">
        <v>60</v>
      </c>
      <c r="C64" s="16" t="s">
        <v>91</v>
      </c>
      <c r="D64" s="283">
        <v>42078.5</v>
      </c>
      <c r="E64" s="9">
        <f t="shared" si="17"/>
        <v>33662.800000000003</v>
      </c>
      <c r="F64" s="9">
        <f t="shared" si="7"/>
        <v>136.84065040650407</v>
      </c>
      <c r="G64" s="9">
        <f t="shared" si="8"/>
        <v>178.57704878048779</v>
      </c>
      <c r="H64" s="9">
        <f t="shared" si="9"/>
        <v>178.57704878048779</v>
      </c>
      <c r="K64" s="1" t="str">
        <f t="shared" si="18"/>
        <v>60 Псковская область</v>
      </c>
      <c r="L64" s="289">
        <v>27093</v>
      </c>
      <c r="M64" s="10">
        <f t="shared" si="10"/>
        <v>165.20121951219511</v>
      </c>
      <c r="N64" s="9">
        <f t="shared" si="4"/>
        <v>234.11393234811831</v>
      </c>
      <c r="O64" s="261">
        <f t="shared" si="11"/>
        <v>29473.258983589698</v>
      </c>
      <c r="P64" s="10">
        <f t="shared" si="12"/>
        <v>179.7149938023762</v>
      </c>
      <c r="R64" s="9">
        <f t="shared" si="13"/>
        <v>234.11393234811831</v>
      </c>
      <c r="S64" s="9">
        <f t="shared" si="14"/>
        <v>234.11393234811831</v>
      </c>
      <c r="W64" s="9">
        <f t="shared" si="15"/>
        <v>33662.800000000003</v>
      </c>
      <c r="X64" s="9">
        <f t="shared" si="16"/>
        <v>179.7149938023762</v>
      </c>
    </row>
    <row r="65" spans="1:24" x14ac:dyDescent="0.25">
      <c r="A65" s="7">
        <v>61</v>
      </c>
      <c r="B65" s="7">
        <v>61</v>
      </c>
      <c r="C65" s="16" t="s">
        <v>97</v>
      </c>
      <c r="D65" s="283">
        <v>44515.5</v>
      </c>
      <c r="E65" s="9">
        <f>D65*0.8</f>
        <v>35612.400000000001</v>
      </c>
      <c r="F65" s="9">
        <f t="shared" si="7"/>
        <v>144.7658536585366</v>
      </c>
      <c r="G65" s="9">
        <f t="shared" si="8"/>
        <v>188.91943902439024</v>
      </c>
      <c r="H65" s="9">
        <f t="shared" si="9"/>
        <v>188.91943902439024</v>
      </c>
      <c r="K65" s="1" t="str">
        <f t="shared" si="18"/>
        <v>61 Ростовская область</v>
      </c>
      <c r="L65" s="290">
        <v>32511.599999999999</v>
      </c>
      <c r="M65" s="10">
        <f t="shared" si="10"/>
        <v>198.24146341463413</v>
      </c>
      <c r="N65" s="9">
        <f t="shared" si="4"/>
        <v>280.93671881774191</v>
      </c>
      <c r="O65" s="261">
        <f t="shared" si="11"/>
        <v>35367.910780307633</v>
      </c>
      <c r="P65" s="10">
        <f t="shared" si="12"/>
        <v>215.6579925628514</v>
      </c>
      <c r="R65" s="9">
        <f t="shared" si="13"/>
        <v>280.93671881774191</v>
      </c>
      <c r="S65" s="9">
        <f t="shared" si="14"/>
        <v>280.93671881774191</v>
      </c>
      <c r="W65" s="9">
        <f t="shared" si="15"/>
        <v>35612.400000000001</v>
      </c>
      <c r="X65" s="9">
        <f t="shared" si="16"/>
        <v>215.6579925628514</v>
      </c>
    </row>
    <row r="66" spans="1:24" x14ac:dyDescent="0.25">
      <c r="A66" s="7">
        <v>62</v>
      </c>
      <c r="B66" s="7">
        <v>62</v>
      </c>
      <c r="C66" s="13" t="s">
        <v>77</v>
      </c>
      <c r="D66" s="283">
        <v>55881.5</v>
      </c>
      <c r="E66" s="9">
        <f t="shared" si="17"/>
        <v>44705.200000000004</v>
      </c>
      <c r="F66" s="9">
        <f t="shared" si="7"/>
        <v>181.72845528455287</v>
      </c>
      <c r="G66" s="9">
        <f t="shared" si="8"/>
        <v>237.15563414634147</v>
      </c>
      <c r="H66" s="9">
        <f t="shared" si="9"/>
        <v>234.67654878048782</v>
      </c>
      <c r="K66" s="1" t="str">
        <f t="shared" si="18"/>
        <v>62 Рязанская область</v>
      </c>
      <c r="L66" s="289">
        <v>27093</v>
      </c>
      <c r="M66" s="10">
        <f t="shared" si="10"/>
        <v>165.20121951219511</v>
      </c>
      <c r="N66" s="9">
        <f t="shared" si="4"/>
        <v>234.11393234811831</v>
      </c>
      <c r="O66" s="261">
        <f t="shared" si="11"/>
        <v>29473.258983589698</v>
      </c>
      <c r="P66" s="10">
        <f t="shared" si="12"/>
        <v>179.7149938023762</v>
      </c>
      <c r="R66" s="9">
        <f t="shared" si="13"/>
        <v>237.15563414634147</v>
      </c>
      <c r="S66" s="9">
        <f t="shared" si="14"/>
        <v>234.67654878048782</v>
      </c>
      <c r="W66" s="9">
        <f t="shared" si="15"/>
        <v>44705.200000000004</v>
      </c>
      <c r="X66" s="9">
        <f t="shared" si="16"/>
        <v>181.72845528455287</v>
      </c>
    </row>
    <row r="67" spans="1:24" x14ac:dyDescent="0.25">
      <c r="A67" s="7">
        <v>63</v>
      </c>
      <c r="B67" s="8" t="s">
        <v>177</v>
      </c>
      <c r="C67" s="16" t="s">
        <v>107</v>
      </c>
      <c r="D67" s="283">
        <v>47830.5</v>
      </c>
      <c r="E67" s="9">
        <f t="shared" si="17"/>
        <v>38264.400000000001</v>
      </c>
      <c r="F67" s="9">
        <f t="shared" si="7"/>
        <v>155.54634146341465</v>
      </c>
      <c r="G67" s="9">
        <f t="shared" si="8"/>
        <v>202.98797560975612</v>
      </c>
      <c r="H67" s="9">
        <f t="shared" si="9"/>
        <v>202.98797560975612</v>
      </c>
      <c r="K67" s="1" t="str">
        <f t="shared" si="18"/>
        <v>63 Самарская область</v>
      </c>
      <c r="L67" s="289">
        <v>28447.65</v>
      </c>
      <c r="M67" s="10">
        <f t="shared" si="10"/>
        <v>173.46128048780488</v>
      </c>
      <c r="N67" s="9">
        <f t="shared" si="4"/>
        <v>245.8196289655242</v>
      </c>
      <c r="O67" s="261">
        <f t="shared" si="11"/>
        <v>30946.921932769179</v>
      </c>
      <c r="P67" s="10">
        <f t="shared" si="12"/>
        <v>188.70074349249501</v>
      </c>
      <c r="R67" s="9">
        <f t="shared" si="13"/>
        <v>245.8196289655242</v>
      </c>
      <c r="S67" s="9">
        <f t="shared" si="14"/>
        <v>245.8196289655242</v>
      </c>
      <c r="W67" s="9">
        <f t="shared" si="15"/>
        <v>38264.400000000001</v>
      </c>
      <c r="X67" s="9">
        <f t="shared" si="16"/>
        <v>188.70074349249501</v>
      </c>
    </row>
    <row r="68" spans="1:24" x14ac:dyDescent="0.25">
      <c r="A68" s="7">
        <v>64</v>
      </c>
      <c r="B68" s="8" t="s">
        <v>178</v>
      </c>
      <c r="C68" s="16" t="s">
        <v>108</v>
      </c>
      <c r="D68" s="283">
        <v>49989.9</v>
      </c>
      <c r="E68" s="9">
        <f t="shared" si="17"/>
        <v>39991.920000000006</v>
      </c>
      <c r="F68" s="9">
        <f t="shared" si="7"/>
        <v>162.5687804878049</v>
      </c>
      <c r="G68" s="9">
        <f t="shared" si="8"/>
        <v>212.15225853658538</v>
      </c>
      <c r="H68" s="9">
        <f t="shared" si="9"/>
        <v>212.15225853658538</v>
      </c>
      <c r="K68" s="1" t="str">
        <f t="shared" si="18"/>
        <v>64 Саратовская область</v>
      </c>
      <c r="L68" s="290">
        <v>28448</v>
      </c>
      <c r="M68" s="10">
        <f t="shared" si="10"/>
        <v>173.46341463414635</v>
      </c>
      <c r="N68" s="9">
        <f t="shared" si="4"/>
        <v>245.82265335840512</v>
      </c>
      <c r="O68" s="261">
        <f t="shared" si="11"/>
        <v>30947.30268206399</v>
      </c>
      <c r="P68" s="10">
        <f t="shared" si="12"/>
        <v>188.70306513453653</v>
      </c>
      <c r="R68" s="9">
        <f t="shared" si="13"/>
        <v>245.82265335840512</v>
      </c>
      <c r="S68" s="9">
        <f t="shared" si="14"/>
        <v>245.82265335840512</v>
      </c>
      <c r="W68" s="9">
        <f t="shared" si="15"/>
        <v>39991.920000000006</v>
      </c>
      <c r="X68" s="9">
        <f t="shared" si="16"/>
        <v>188.70306513453653</v>
      </c>
    </row>
    <row r="69" spans="1:24" x14ac:dyDescent="0.25">
      <c r="A69" s="7">
        <v>65</v>
      </c>
      <c r="B69" s="7">
        <v>65</v>
      </c>
      <c r="C69" s="16" t="s">
        <v>130</v>
      </c>
      <c r="D69" s="283">
        <v>85346.7</v>
      </c>
      <c r="E69" s="9">
        <f t="shared" ref="E69:E88" si="19">D69*0.8</f>
        <v>68277.36</v>
      </c>
      <c r="F69" s="9">
        <f t="shared" si="7"/>
        <v>277.55024390243904</v>
      </c>
      <c r="G69" s="9">
        <f t="shared" si="8"/>
        <v>362.20306829268293</v>
      </c>
      <c r="H69" s="9">
        <f t="shared" si="9"/>
        <v>345.35071463414636</v>
      </c>
      <c r="K69" s="1" t="str">
        <f t="shared" ref="K69:K93" si="20">CONCATENATE(B69," ",C69)</f>
        <v>65 Сахалинская область</v>
      </c>
      <c r="L69" s="290">
        <v>31416</v>
      </c>
      <c r="M69" s="10">
        <f t="shared" si="10"/>
        <v>191.5609756097561</v>
      </c>
      <c r="N69" s="9">
        <f t="shared" ref="N69:N88" si="21">((M69/29.3*28*100%/12)+M69)*1.305+M69*164*24/730*3/12/164</f>
        <v>271.46950498831745</v>
      </c>
      <c r="O69" s="261">
        <f t="shared" si="11"/>
        <v>34176.056702043104</v>
      </c>
      <c r="P69" s="10">
        <f t="shared" si="12"/>
        <v>208.3905896466043</v>
      </c>
      <c r="R69" s="9">
        <f t="shared" si="13"/>
        <v>362.20306829268293</v>
      </c>
      <c r="S69" s="9">
        <f t="shared" si="14"/>
        <v>345.35071463414636</v>
      </c>
      <c r="W69" s="9">
        <f t="shared" si="15"/>
        <v>68277.36</v>
      </c>
      <c r="X69" s="9">
        <f t="shared" si="16"/>
        <v>277.55024390243904</v>
      </c>
    </row>
    <row r="70" spans="1:24" x14ac:dyDescent="0.25">
      <c r="A70" s="7">
        <v>66</v>
      </c>
      <c r="B70" s="8" t="s">
        <v>179</v>
      </c>
      <c r="C70" s="16" t="s">
        <v>111</v>
      </c>
      <c r="D70" s="283">
        <v>48322.5</v>
      </c>
      <c r="E70" s="9">
        <f t="shared" si="19"/>
        <v>38658</v>
      </c>
      <c r="F70" s="9">
        <f t="shared" ref="F70:F88" si="22">E70/246</f>
        <v>157.14634146341464</v>
      </c>
      <c r="G70" s="9">
        <f t="shared" ref="G70:G88" si="23">F70*1.305</f>
        <v>205.07597560975611</v>
      </c>
      <c r="H70" s="9">
        <f t="shared" ref="H70:H88" si="24">IF(F70&gt;$M$5,$M$5*1.305+(F70-$M$5)*1.155,F70*1.305)</f>
        <v>205.07597560975611</v>
      </c>
      <c r="K70" s="1" t="str">
        <f t="shared" si="20"/>
        <v>66 Свердловская область</v>
      </c>
      <c r="L70" s="289">
        <v>27093</v>
      </c>
      <c r="M70" s="10">
        <f t="shared" ref="M70:M88" si="25">L70/164</f>
        <v>165.20121951219511</v>
      </c>
      <c r="N70" s="9">
        <f t="shared" si="21"/>
        <v>234.11393234811831</v>
      </c>
      <c r="O70" s="261">
        <f t="shared" ref="O70:O93" si="26">($L70/29.3*28/12)+$L70+$L70*24/730*3/12</f>
        <v>29473.258983589698</v>
      </c>
      <c r="P70" s="10">
        <f t="shared" ref="P70:P93" si="27">($M70/29.3*28/12)+$M70+$M70*24/730*3/12</f>
        <v>179.7149938023762</v>
      </c>
      <c r="R70" s="9">
        <f t="shared" ref="R70:R93" si="28">IF(N70&gt;G70,N70,G70)</f>
        <v>234.11393234811831</v>
      </c>
      <c r="S70" s="9">
        <f t="shared" ref="S70:S93" si="29">IF(N70&gt;H70,N70,H70)</f>
        <v>234.11393234811831</v>
      </c>
      <c r="W70" s="9">
        <f t="shared" ref="W70:W93" si="30">IF(O70&gt;E70,O70,E70)</f>
        <v>38658</v>
      </c>
      <c r="X70" s="9">
        <f t="shared" ref="X70:X93" si="31">IF(P70&gt;F70,P70,F70)</f>
        <v>179.7149938023762</v>
      </c>
    </row>
    <row r="71" spans="1:24" x14ac:dyDescent="0.25">
      <c r="A71" s="7">
        <v>67</v>
      </c>
      <c r="B71" s="7">
        <v>67</v>
      </c>
      <c r="C71" s="13" t="s">
        <v>78</v>
      </c>
      <c r="D71" s="283">
        <v>48272</v>
      </c>
      <c r="E71" s="9">
        <f t="shared" si="19"/>
        <v>38617.599999999999</v>
      </c>
      <c r="F71" s="9">
        <f t="shared" si="22"/>
        <v>156.9821138211382</v>
      </c>
      <c r="G71" s="9">
        <f t="shared" si="23"/>
        <v>204.86165853658534</v>
      </c>
      <c r="H71" s="9">
        <f t="shared" si="24"/>
        <v>204.86165853658534</v>
      </c>
      <c r="K71" s="1" t="str">
        <f t="shared" si="20"/>
        <v>67 Смоленская область</v>
      </c>
      <c r="L71" s="289">
        <v>27093</v>
      </c>
      <c r="M71" s="10">
        <f t="shared" si="25"/>
        <v>165.20121951219511</v>
      </c>
      <c r="N71" s="9">
        <f t="shared" si="21"/>
        <v>234.11393234811831</v>
      </c>
      <c r="O71" s="261">
        <f t="shared" si="26"/>
        <v>29473.258983589698</v>
      </c>
      <c r="P71" s="10">
        <f t="shared" si="27"/>
        <v>179.7149938023762</v>
      </c>
      <c r="R71" s="9">
        <f t="shared" si="28"/>
        <v>234.11393234811831</v>
      </c>
      <c r="S71" s="9">
        <f t="shared" si="29"/>
        <v>234.11393234811831</v>
      </c>
      <c r="W71" s="9">
        <f t="shared" si="30"/>
        <v>38617.599999999999</v>
      </c>
      <c r="X71" s="9">
        <f t="shared" si="31"/>
        <v>179.7149938023762</v>
      </c>
    </row>
    <row r="72" spans="1:24" x14ac:dyDescent="0.25">
      <c r="A72" s="7">
        <v>68</v>
      </c>
      <c r="B72" s="7">
        <v>68</v>
      </c>
      <c r="C72" s="16" t="s">
        <v>79</v>
      </c>
      <c r="D72" s="283">
        <v>31985.4</v>
      </c>
      <c r="E72" s="9">
        <f t="shared" si="19"/>
        <v>25588.320000000003</v>
      </c>
      <c r="F72" s="9">
        <f t="shared" si="22"/>
        <v>104.01756097560977</v>
      </c>
      <c r="G72" s="9">
        <f t="shared" si="23"/>
        <v>135.74291707317073</v>
      </c>
      <c r="H72" s="9">
        <f t="shared" si="24"/>
        <v>135.74291707317073</v>
      </c>
      <c r="K72" s="1" t="str">
        <f t="shared" si="20"/>
        <v>68 Тамбовская область</v>
      </c>
      <c r="L72" s="289">
        <v>27093</v>
      </c>
      <c r="M72" s="10">
        <f t="shared" si="25"/>
        <v>165.20121951219511</v>
      </c>
      <c r="N72" s="9">
        <f t="shared" si="21"/>
        <v>234.11393234811831</v>
      </c>
      <c r="O72" s="261">
        <f t="shared" si="26"/>
        <v>29473.258983589698</v>
      </c>
      <c r="P72" s="10">
        <f t="shared" si="27"/>
        <v>179.7149938023762</v>
      </c>
      <c r="R72" s="9">
        <f t="shared" si="28"/>
        <v>234.11393234811831</v>
      </c>
      <c r="S72" s="9">
        <f t="shared" si="29"/>
        <v>234.11393234811831</v>
      </c>
      <c r="W72" s="9">
        <f t="shared" si="30"/>
        <v>29473.258983589698</v>
      </c>
      <c r="X72" s="9">
        <f t="shared" si="31"/>
        <v>179.7149938023762</v>
      </c>
    </row>
    <row r="73" spans="1:24" x14ac:dyDescent="0.25">
      <c r="A73" s="7">
        <v>69</v>
      </c>
      <c r="B73" s="7">
        <v>69</v>
      </c>
      <c r="C73" s="16" t="s">
        <v>80</v>
      </c>
      <c r="D73" s="283">
        <v>52693.5</v>
      </c>
      <c r="E73" s="9">
        <f t="shared" si="19"/>
        <v>42154.8</v>
      </c>
      <c r="F73" s="9">
        <f t="shared" si="22"/>
        <v>171.36097560975611</v>
      </c>
      <c r="G73" s="9">
        <f t="shared" si="23"/>
        <v>223.6260731707317</v>
      </c>
      <c r="H73" s="9">
        <f t="shared" si="24"/>
        <v>222.70210975609757</v>
      </c>
      <c r="K73" s="1" t="str">
        <f t="shared" si="20"/>
        <v>69 Тверская область</v>
      </c>
      <c r="L73" s="289">
        <v>27093</v>
      </c>
      <c r="M73" s="10">
        <f t="shared" si="25"/>
        <v>165.20121951219511</v>
      </c>
      <c r="N73" s="9">
        <f t="shared" si="21"/>
        <v>234.11393234811831</v>
      </c>
      <c r="O73" s="261">
        <f t="shared" si="26"/>
        <v>29473.258983589698</v>
      </c>
      <c r="P73" s="10">
        <f t="shared" si="27"/>
        <v>179.7149938023762</v>
      </c>
      <c r="R73" s="9">
        <f t="shared" si="28"/>
        <v>234.11393234811831</v>
      </c>
      <c r="S73" s="9">
        <f t="shared" si="29"/>
        <v>234.11393234811831</v>
      </c>
      <c r="W73" s="9">
        <f t="shared" si="30"/>
        <v>42154.8</v>
      </c>
      <c r="X73" s="9">
        <f t="shared" si="31"/>
        <v>179.7149938023762</v>
      </c>
    </row>
    <row r="74" spans="1:24" x14ac:dyDescent="0.25">
      <c r="A74" s="7">
        <v>70</v>
      </c>
      <c r="B74" s="7">
        <v>70</v>
      </c>
      <c r="C74" s="16" t="s">
        <v>121</v>
      </c>
      <c r="D74" s="283">
        <v>56011</v>
      </c>
      <c r="E74" s="9">
        <f t="shared" si="19"/>
        <v>44808.800000000003</v>
      </c>
      <c r="F74" s="9">
        <f t="shared" si="22"/>
        <v>182.14959349593497</v>
      </c>
      <c r="G74" s="9">
        <f t="shared" si="23"/>
        <v>237.70521951219513</v>
      </c>
      <c r="H74" s="9">
        <f t="shared" si="24"/>
        <v>235.16296341463413</v>
      </c>
      <c r="K74" s="1" t="str">
        <f t="shared" si="20"/>
        <v>70 Томская область</v>
      </c>
      <c r="L74" s="289">
        <v>27093</v>
      </c>
      <c r="M74" s="10">
        <f t="shared" si="25"/>
        <v>165.20121951219511</v>
      </c>
      <c r="N74" s="9">
        <f t="shared" si="21"/>
        <v>234.11393234811831</v>
      </c>
      <c r="O74" s="261">
        <f t="shared" si="26"/>
        <v>29473.258983589698</v>
      </c>
      <c r="P74" s="10">
        <f t="shared" si="27"/>
        <v>179.7149938023762</v>
      </c>
      <c r="R74" s="9">
        <f t="shared" si="28"/>
        <v>237.70521951219513</v>
      </c>
      <c r="S74" s="9">
        <f t="shared" si="29"/>
        <v>235.16296341463413</v>
      </c>
      <c r="W74" s="9">
        <f t="shared" si="30"/>
        <v>44808.800000000003</v>
      </c>
      <c r="X74" s="9">
        <f t="shared" si="31"/>
        <v>182.14959349593497</v>
      </c>
    </row>
    <row r="75" spans="1:24" x14ac:dyDescent="0.25">
      <c r="A75" s="7">
        <v>71</v>
      </c>
      <c r="B75" s="7">
        <v>71</v>
      </c>
      <c r="C75" s="16" t="s">
        <v>81</v>
      </c>
      <c r="D75" s="283">
        <v>56639</v>
      </c>
      <c r="E75" s="9">
        <f t="shared" si="19"/>
        <v>45311.200000000004</v>
      </c>
      <c r="F75" s="9">
        <f t="shared" si="22"/>
        <v>184.19186991869921</v>
      </c>
      <c r="G75" s="9">
        <f t="shared" si="23"/>
        <v>240.37039024390245</v>
      </c>
      <c r="H75" s="9">
        <f t="shared" si="24"/>
        <v>237.52179268292684</v>
      </c>
      <c r="K75" s="1" t="str">
        <f t="shared" si="20"/>
        <v>71 Тульская область</v>
      </c>
      <c r="L75" s="289">
        <v>30095</v>
      </c>
      <c r="M75" s="10">
        <f t="shared" si="25"/>
        <v>183.5060975609756</v>
      </c>
      <c r="N75" s="9">
        <f t="shared" si="21"/>
        <v>260.05458214360237</v>
      </c>
      <c r="O75" s="261">
        <f t="shared" si="26"/>
        <v>32739.000077921672</v>
      </c>
      <c r="P75" s="10">
        <f t="shared" si="27"/>
        <v>199.62804925561994</v>
      </c>
      <c r="R75" s="9">
        <f t="shared" si="28"/>
        <v>260.05458214360237</v>
      </c>
      <c r="S75" s="9">
        <f t="shared" si="29"/>
        <v>260.05458214360237</v>
      </c>
      <c r="W75" s="9">
        <f t="shared" si="30"/>
        <v>45311.200000000004</v>
      </c>
      <c r="X75" s="9">
        <f t="shared" si="31"/>
        <v>199.62804925561994</v>
      </c>
    </row>
    <row r="76" spans="1:24" x14ac:dyDescent="0.25">
      <c r="A76" s="7">
        <v>72</v>
      </c>
      <c r="B76" s="8" t="s">
        <v>180</v>
      </c>
      <c r="C76" s="16" t="s">
        <v>152</v>
      </c>
      <c r="D76" s="283">
        <v>64990.9</v>
      </c>
      <c r="E76" s="9">
        <f t="shared" si="19"/>
        <v>51992.72</v>
      </c>
      <c r="F76" s="9">
        <f t="shared" si="22"/>
        <v>211.35252032520324</v>
      </c>
      <c r="G76" s="9">
        <f t="shared" si="23"/>
        <v>275.81503902439022</v>
      </c>
      <c r="H76" s="9">
        <f t="shared" si="24"/>
        <v>268.89234390243899</v>
      </c>
      <c r="K76" s="1" t="str">
        <f t="shared" si="20"/>
        <v xml:space="preserve">72 Тюменская область </v>
      </c>
      <c r="L76" s="289">
        <v>27093</v>
      </c>
      <c r="M76" s="10">
        <f t="shared" si="25"/>
        <v>165.20121951219511</v>
      </c>
      <c r="N76" s="9">
        <f t="shared" si="21"/>
        <v>234.11393234811831</v>
      </c>
      <c r="O76" s="261">
        <f t="shared" si="26"/>
        <v>29473.258983589698</v>
      </c>
      <c r="P76" s="10">
        <f t="shared" si="27"/>
        <v>179.7149938023762</v>
      </c>
      <c r="R76" s="9">
        <f t="shared" si="28"/>
        <v>275.81503902439022</v>
      </c>
      <c r="S76" s="9">
        <f t="shared" si="29"/>
        <v>268.89234390243899</v>
      </c>
      <c r="W76" s="9">
        <f t="shared" si="30"/>
        <v>51992.72</v>
      </c>
      <c r="X76" s="9">
        <f t="shared" si="31"/>
        <v>211.35252032520324</v>
      </c>
    </row>
    <row r="77" spans="1:24" x14ac:dyDescent="0.25">
      <c r="A77" s="7">
        <v>73</v>
      </c>
      <c r="B77" s="8" t="s">
        <v>181</v>
      </c>
      <c r="C77" s="16" t="s">
        <v>109</v>
      </c>
      <c r="D77" s="283">
        <v>43962.5</v>
      </c>
      <c r="E77" s="9">
        <f t="shared" si="19"/>
        <v>35170</v>
      </c>
      <c r="F77" s="9">
        <f t="shared" si="22"/>
        <v>142.96747967479675</v>
      </c>
      <c r="G77" s="9">
        <f t="shared" si="23"/>
        <v>186.57256097560975</v>
      </c>
      <c r="H77" s="9">
        <f t="shared" si="24"/>
        <v>186.57256097560975</v>
      </c>
      <c r="K77" s="1" t="str">
        <f t="shared" si="20"/>
        <v>73 Ульяновская область</v>
      </c>
      <c r="L77" s="289">
        <v>27882</v>
      </c>
      <c r="M77" s="10">
        <f t="shared" si="25"/>
        <v>170.01219512195121</v>
      </c>
      <c r="N77" s="9">
        <f t="shared" si="21"/>
        <v>240.93177801388677</v>
      </c>
      <c r="O77" s="261">
        <f t="shared" si="26"/>
        <v>30331.576679601665</v>
      </c>
      <c r="P77" s="10">
        <f t="shared" si="27"/>
        <v>184.94863829025405</v>
      </c>
      <c r="R77" s="9">
        <f t="shared" si="28"/>
        <v>240.93177801388677</v>
      </c>
      <c r="S77" s="9">
        <f t="shared" si="29"/>
        <v>240.93177801388677</v>
      </c>
      <c r="W77" s="9">
        <f t="shared" si="30"/>
        <v>35170</v>
      </c>
      <c r="X77" s="9">
        <f t="shared" si="31"/>
        <v>184.94863829025405</v>
      </c>
    </row>
    <row r="78" spans="1:24" x14ac:dyDescent="0.25">
      <c r="A78" s="7">
        <v>74</v>
      </c>
      <c r="B78" s="8" t="s">
        <v>182</v>
      </c>
      <c r="C78" s="16" t="s">
        <v>112</v>
      </c>
      <c r="D78" s="283">
        <v>40726.800000000003</v>
      </c>
      <c r="E78" s="9">
        <f t="shared" si="19"/>
        <v>32581.440000000002</v>
      </c>
      <c r="F78" s="9">
        <f t="shared" si="22"/>
        <v>132.44487804878051</v>
      </c>
      <c r="G78" s="9">
        <f t="shared" si="23"/>
        <v>172.84056585365855</v>
      </c>
      <c r="H78" s="9">
        <f t="shared" si="24"/>
        <v>172.84056585365855</v>
      </c>
      <c r="K78" s="1" t="str">
        <f t="shared" si="20"/>
        <v>74 Челябинская область</v>
      </c>
      <c r="L78" s="289">
        <v>31156.95</v>
      </c>
      <c r="M78" s="10">
        <f t="shared" si="25"/>
        <v>189.98140243902441</v>
      </c>
      <c r="N78" s="9">
        <f t="shared" si="21"/>
        <v>269.23102220033604</v>
      </c>
      <c r="O78" s="261">
        <f t="shared" si="26"/>
        <v>33894.247831128145</v>
      </c>
      <c r="P78" s="10">
        <f t="shared" si="27"/>
        <v>206.67224287273262</v>
      </c>
      <c r="R78" s="9">
        <f t="shared" si="28"/>
        <v>269.23102220033604</v>
      </c>
      <c r="S78" s="9">
        <f t="shared" si="29"/>
        <v>269.23102220033604</v>
      </c>
      <c r="W78" s="9">
        <f t="shared" si="30"/>
        <v>33894.247831128145</v>
      </c>
      <c r="X78" s="9">
        <f t="shared" si="31"/>
        <v>206.67224287273262</v>
      </c>
    </row>
    <row r="79" spans="1:24" x14ac:dyDescent="0.25">
      <c r="A79" s="7">
        <v>75</v>
      </c>
      <c r="B79" s="7">
        <v>75</v>
      </c>
      <c r="C79" s="16" t="s">
        <v>124</v>
      </c>
      <c r="D79" s="283">
        <v>46250.1</v>
      </c>
      <c r="E79" s="9">
        <f t="shared" si="19"/>
        <v>37000.080000000002</v>
      </c>
      <c r="F79" s="9">
        <f t="shared" si="22"/>
        <v>150.40682926829268</v>
      </c>
      <c r="G79" s="9">
        <f t="shared" si="23"/>
        <v>196.28091219512194</v>
      </c>
      <c r="H79" s="9">
        <f t="shared" si="24"/>
        <v>196.28091219512194</v>
      </c>
      <c r="K79" s="1" t="str">
        <f t="shared" si="20"/>
        <v>75 Забайкальский край</v>
      </c>
      <c r="L79" s="289">
        <v>27093</v>
      </c>
      <c r="M79" s="10">
        <f t="shared" si="25"/>
        <v>165.20121951219511</v>
      </c>
      <c r="N79" s="9">
        <f t="shared" si="21"/>
        <v>234.11393234811831</v>
      </c>
      <c r="O79" s="261">
        <f t="shared" si="26"/>
        <v>29473.258983589698</v>
      </c>
      <c r="P79" s="10">
        <f t="shared" si="27"/>
        <v>179.7149938023762</v>
      </c>
      <c r="R79" s="9">
        <f t="shared" si="28"/>
        <v>234.11393234811831</v>
      </c>
      <c r="S79" s="9">
        <f t="shared" si="29"/>
        <v>234.11393234811831</v>
      </c>
      <c r="W79" s="9">
        <f t="shared" si="30"/>
        <v>37000.080000000002</v>
      </c>
      <c r="X79" s="9">
        <f t="shared" si="31"/>
        <v>179.7149938023762</v>
      </c>
    </row>
    <row r="80" spans="1:24" x14ac:dyDescent="0.25">
      <c r="A80" s="7">
        <v>76</v>
      </c>
      <c r="B80" s="7">
        <v>76</v>
      </c>
      <c r="C80" s="16" t="s">
        <v>82</v>
      </c>
      <c r="D80" s="283">
        <v>52059.7</v>
      </c>
      <c r="E80" s="9">
        <f t="shared" si="19"/>
        <v>41647.760000000002</v>
      </c>
      <c r="F80" s="9">
        <f t="shared" si="22"/>
        <v>169.299837398374</v>
      </c>
      <c r="G80" s="9">
        <f t="shared" si="23"/>
        <v>220.93628780487805</v>
      </c>
      <c r="H80" s="9">
        <f t="shared" si="24"/>
        <v>220.32149512195122</v>
      </c>
      <c r="K80" s="1" t="str">
        <f t="shared" si="20"/>
        <v>76 Ярославская область</v>
      </c>
      <c r="L80" s="289">
        <v>30000</v>
      </c>
      <c r="M80" s="10">
        <f t="shared" si="25"/>
        <v>182.92682926829269</v>
      </c>
      <c r="N80" s="9">
        <f t="shared" si="21"/>
        <v>259.23367550450484</v>
      </c>
      <c r="O80" s="261">
        <f t="shared" si="26"/>
        <v>32635.653840759267</v>
      </c>
      <c r="P80" s="10">
        <f t="shared" si="27"/>
        <v>198.99788927292238</v>
      </c>
      <c r="R80" s="9">
        <f t="shared" si="28"/>
        <v>259.23367550450484</v>
      </c>
      <c r="S80" s="9">
        <f t="shared" si="29"/>
        <v>259.23367550450484</v>
      </c>
      <c r="W80" s="9">
        <f t="shared" si="30"/>
        <v>41647.760000000002</v>
      </c>
      <c r="X80" s="9">
        <f t="shared" si="31"/>
        <v>198.99788927292238</v>
      </c>
    </row>
    <row r="81" spans="1:24" x14ac:dyDescent="0.25">
      <c r="A81" s="7">
        <v>77</v>
      </c>
      <c r="B81" s="15">
        <v>77</v>
      </c>
      <c r="C81" s="16" t="s">
        <v>146</v>
      </c>
      <c r="D81" s="283">
        <v>100321.2</v>
      </c>
      <c r="E81" s="12">
        <f t="shared" si="19"/>
        <v>80256.960000000006</v>
      </c>
      <c r="F81" s="9">
        <f t="shared" si="22"/>
        <v>326.24780487804878</v>
      </c>
      <c r="G81" s="9">
        <f t="shared" si="23"/>
        <v>425.75338536585366</v>
      </c>
      <c r="H81" s="9">
        <f t="shared" si="24"/>
        <v>401.59639756097562</v>
      </c>
      <c r="K81" s="1" t="str">
        <f t="shared" si="20"/>
        <v xml:space="preserve">77 Город Москва </v>
      </c>
      <c r="L81" s="290">
        <v>39730</v>
      </c>
      <c r="M81" s="10">
        <f t="shared" si="25"/>
        <v>242.2560975609756</v>
      </c>
      <c r="N81" s="9">
        <f t="shared" si="21"/>
        <v>343.31179759313255</v>
      </c>
      <c r="O81" s="261">
        <f t="shared" si="26"/>
        <v>43220.484236445525</v>
      </c>
      <c r="P81" s="10">
        <f t="shared" si="27"/>
        <v>263.53953802710686</v>
      </c>
      <c r="R81" s="9">
        <f t="shared" si="28"/>
        <v>425.75338536585366</v>
      </c>
      <c r="S81" s="9">
        <f t="shared" si="29"/>
        <v>401.59639756097562</v>
      </c>
      <c r="W81" s="9">
        <f t="shared" si="30"/>
        <v>80256.960000000006</v>
      </c>
      <c r="X81" s="9">
        <f t="shared" si="31"/>
        <v>326.24780487804878</v>
      </c>
    </row>
    <row r="82" spans="1:24" x14ac:dyDescent="0.25">
      <c r="A82" s="7">
        <v>78</v>
      </c>
      <c r="B82" s="7">
        <v>78</v>
      </c>
      <c r="C82" s="16" t="s">
        <v>148</v>
      </c>
      <c r="D82" s="283">
        <v>87930.2</v>
      </c>
      <c r="E82" s="9">
        <f t="shared" si="19"/>
        <v>70344.160000000003</v>
      </c>
      <c r="F82" s="9">
        <f t="shared" si="22"/>
        <v>285.95186991869917</v>
      </c>
      <c r="G82" s="9">
        <f t="shared" si="23"/>
        <v>373.16719024390238</v>
      </c>
      <c r="H82" s="9">
        <f t="shared" si="24"/>
        <v>355.0545926829268</v>
      </c>
      <c r="K82" s="1" t="str">
        <f t="shared" si="20"/>
        <v xml:space="preserve">78 Город Санкт-Петербург </v>
      </c>
      <c r="L82" s="290">
        <v>31250</v>
      </c>
      <c r="M82" s="10">
        <f t="shared" si="25"/>
        <v>190.54878048780489</v>
      </c>
      <c r="N82" s="9">
        <f t="shared" si="21"/>
        <v>270.03507865052586</v>
      </c>
      <c r="O82" s="261">
        <f t="shared" si="26"/>
        <v>33995.472750790905</v>
      </c>
      <c r="P82" s="10">
        <f t="shared" si="27"/>
        <v>207.28946799262746</v>
      </c>
      <c r="R82" s="9">
        <f t="shared" si="28"/>
        <v>373.16719024390238</v>
      </c>
      <c r="S82" s="9">
        <f t="shared" si="29"/>
        <v>355.0545926829268</v>
      </c>
      <c r="W82" s="9">
        <f t="shared" si="30"/>
        <v>70344.160000000003</v>
      </c>
      <c r="X82" s="9">
        <f t="shared" si="31"/>
        <v>285.95186991869917</v>
      </c>
    </row>
    <row r="83" spans="1:24" x14ac:dyDescent="0.25">
      <c r="A83" s="7">
        <v>79</v>
      </c>
      <c r="B83" s="7">
        <v>79</v>
      </c>
      <c r="C83" s="16" t="s">
        <v>134</v>
      </c>
      <c r="D83" s="283">
        <v>45407.8</v>
      </c>
      <c r="E83" s="9">
        <f t="shared" si="19"/>
        <v>36326.240000000005</v>
      </c>
      <c r="F83" s="9">
        <f t="shared" si="22"/>
        <v>147.66764227642278</v>
      </c>
      <c r="G83" s="9">
        <f t="shared" si="23"/>
        <v>192.70627317073172</v>
      </c>
      <c r="H83" s="9">
        <f t="shared" si="24"/>
        <v>192.70627317073172</v>
      </c>
      <c r="K83" s="1" t="str">
        <f t="shared" si="20"/>
        <v>79 Еврейская автономная область</v>
      </c>
      <c r="L83" s="289">
        <v>27093</v>
      </c>
      <c r="M83" s="10">
        <f t="shared" si="25"/>
        <v>165.20121951219511</v>
      </c>
      <c r="N83" s="9">
        <f t="shared" si="21"/>
        <v>234.11393234811831</v>
      </c>
      <c r="O83" s="261">
        <f t="shared" si="26"/>
        <v>29473.258983589698</v>
      </c>
      <c r="P83" s="10">
        <f t="shared" si="27"/>
        <v>179.7149938023762</v>
      </c>
      <c r="R83" s="9">
        <f t="shared" si="28"/>
        <v>234.11393234811831</v>
      </c>
      <c r="S83" s="9">
        <f t="shared" si="29"/>
        <v>234.11393234811831</v>
      </c>
      <c r="W83" s="9">
        <f t="shared" si="30"/>
        <v>36326.240000000005</v>
      </c>
      <c r="X83" s="9">
        <f t="shared" si="31"/>
        <v>179.7149938023762</v>
      </c>
    </row>
    <row r="84" spans="1:24" x14ac:dyDescent="0.25">
      <c r="A84" s="7">
        <v>80</v>
      </c>
      <c r="B84" s="7">
        <v>83</v>
      </c>
      <c r="C84" s="16" t="s">
        <v>147</v>
      </c>
      <c r="D84" s="283">
        <v>86515.6</v>
      </c>
      <c r="E84" s="9">
        <f t="shared" si="19"/>
        <v>69212.48000000001</v>
      </c>
      <c r="F84" s="9">
        <f t="shared" si="22"/>
        <v>281.35154471544718</v>
      </c>
      <c r="G84" s="9">
        <f t="shared" si="23"/>
        <v>367.16376585365856</v>
      </c>
      <c r="H84" s="9">
        <f t="shared" si="24"/>
        <v>349.74121707317079</v>
      </c>
      <c r="K84" s="1" t="str">
        <f t="shared" si="20"/>
        <v xml:space="preserve">83 Ненецкий автономный округ </v>
      </c>
      <c r="L84" s="289">
        <v>33660</v>
      </c>
      <c r="M84" s="10">
        <f t="shared" si="25"/>
        <v>205.2439024390244</v>
      </c>
      <c r="N84" s="9">
        <f t="shared" si="21"/>
        <v>290.86018391605444</v>
      </c>
      <c r="O84" s="261">
        <f t="shared" si="26"/>
        <v>36617.203609331897</v>
      </c>
      <c r="P84" s="10">
        <f t="shared" si="27"/>
        <v>223.27563176421893</v>
      </c>
      <c r="R84" s="9">
        <f t="shared" si="28"/>
        <v>367.16376585365856</v>
      </c>
      <c r="S84" s="9">
        <f t="shared" si="29"/>
        <v>349.74121707317079</v>
      </c>
      <c r="W84" s="9">
        <f t="shared" si="30"/>
        <v>69212.48000000001</v>
      </c>
      <c r="X84" s="9">
        <f t="shared" si="31"/>
        <v>281.35154471544718</v>
      </c>
    </row>
    <row r="85" spans="1:24" x14ac:dyDescent="0.25">
      <c r="A85" s="7">
        <v>81</v>
      </c>
      <c r="B85" s="8" t="s">
        <v>183</v>
      </c>
      <c r="C85" s="16" t="s">
        <v>150</v>
      </c>
      <c r="D85" s="283">
        <v>68524.3</v>
      </c>
      <c r="E85" s="9">
        <f t="shared" si="19"/>
        <v>54819.44</v>
      </c>
      <c r="F85" s="9">
        <f t="shared" si="22"/>
        <v>222.84325203252033</v>
      </c>
      <c r="G85" s="9">
        <f t="shared" si="23"/>
        <v>290.81044390243903</v>
      </c>
      <c r="H85" s="9">
        <f t="shared" si="24"/>
        <v>282.16413902439024</v>
      </c>
      <c r="K85" s="1" t="str">
        <f t="shared" si="20"/>
        <v xml:space="preserve">86 Ханты-Мансийский автономный округ - Югра </v>
      </c>
      <c r="L85" s="289">
        <v>33660</v>
      </c>
      <c r="M85" s="10">
        <f t="shared" si="25"/>
        <v>205.2439024390244</v>
      </c>
      <c r="N85" s="9">
        <f t="shared" si="21"/>
        <v>290.86018391605444</v>
      </c>
      <c r="O85" s="261">
        <f t="shared" si="26"/>
        <v>36617.203609331897</v>
      </c>
      <c r="P85" s="10">
        <f t="shared" si="27"/>
        <v>223.27563176421893</v>
      </c>
      <c r="R85" s="9">
        <f t="shared" si="28"/>
        <v>290.86018391605444</v>
      </c>
      <c r="S85" s="9">
        <f t="shared" si="29"/>
        <v>290.86018391605444</v>
      </c>
      <c r="W85" s="9">
        <f t="shared" si="30"/>
        <v>54819.44</v>
      </c>
      <c r="X85" s="9">
        <f t="shared" si="31"/>
        <v>223.27563176421893</v>
      </c>
    </row>
    <row r="86" spans="1:24" x14ac:dyDescent="0.25">
      <c r="A86" s="7">
        <v>82</v>
      </c>
      <c r="B86" s="7">
        <v>87</v>
      </c>
      <c r="C86" s="16" t="s">
        <v>135</v>
      </c>
      <c r="D86" s="283">
        <v>73760.7</v>
      </c>
      <c r="E86" s="9">
        <f t="shared" si="19"/>
        <v>59008.56</v>
      </c>
      <c r="F86" s="9">
        <f t="shared" si="22"/>
        <v>239.87219512195122</v>
      </c>
      <c r="G86" s="9">
        <f t="shared" si="23"/>
        <v>313.0332146341463</v>
      </c>
      <c r="H86" s="9">
        <f t="shared" si="24"/>
        <v>301.83256829268294</v>
      </c>
      <c r="K86" s="1" t="str">
        <f t="shared" si="20"/>
        <v>87 Чукотский автономный округ</v>
      </c>
      <c r="L86" s="289">
        <v>44880</v>
      </c>
      <c r="M86" s="10">
        <f t="shared" si="25"/>
        <v>273.65853658536588</v>
      </c>
      <c r="N86" s="9">
        <f t="shared" si="21"/>
        <v>387.81357855473925</v>
      </c>
      <c r="O86" s="261">
        <f t="shared" si="26"/>
        <v>48822.938145775872</v>
      </c>
      <c r="P86" s="10">
        <f t="shared" si="27"/>
        <v>297.70084235229189</v>
      </c>
      <c r="R86" s="9">
        <f t="shared" si="28"/>
        <v>387.81357855473925</v>
      </c>
      <c r="S86" s="9">
        <f t="shared" si="29"/>
        <v>387.81357855473925</v>
      </c>
      <c r="W86" s="9">
        <f t="shared" si="30"/>
        <v>59008.56</v>
      </c>
      <c r="X86" s="9">
        <f t="shared" si="31"/>
        <v>297.70084235229189</v>
      </c>
    </row>
    <row r="87" spans="1:24" x14ac:dyDescent="0.25">
      <c r="A87" s="7">
        <v>83</v>
      </c>
      <c r="B87" s="8" t="s">
        <v>184</v>
      </c>
      <c r="C87" s="16" t="s">
        <v>151</v>
      </c>
      <c r="D87" s="283">
        <v>76508.7</v>
      </c>
      <c r="E87" s="9">
        <f t="shared" si="19"/>
        <v>61206.96</v>
      </c>
      <c r="F87" s="9">
        <f t="shared" si="22"/>
        <v>248.80878048780488</v>
      </c>
      <c r="G87" s="9">
        <f t="shared" si="23"/>
        <v>324.69545853658536</v>
      </c>
      <c r="H87" s="9">
        <f t="shared" si="24"/>
        <v>312.15432439024391</v>
      </c>
      <c r="K87" s="1" t="str">
        <f t="shared" si="20"/>
        <v xml:space="preserve">89 Ямало-Ненецкий автономный округ </v>
      </c>
      <c r="L87" s="289">
        <v>31416</v>
      </c>
      <c r="M87" s="10">
        <f t="shared" si="25"/>
        <v>191.5609756097561</v>
      </c>
      <c r="N87" s="9">
        <f t="shared" si="21"/>
        <v>271.46950498831745</v>
      </c>
      <c r="O87" s="261">
        <f t="shared" si="26"/>
        <v>34176.056702043104</v>
      </c>
      <c r="P87" s="10">
        <f t="shared" si="27"/>
        <v>208.3905896466043</v>
      </c>
      <c r="R87" s="9">
        <f t="shared" si="28"/>
        <v>324.69545853658536</v>
      </c>
      <c r="S87" s="9">
        <f t="shared" si="29"/>
        <v>312.15432439024391</v>
      </c>
      <c r="W87" s="9">
        <f t="shared" si="30"/>
        <v>61206.96</v>
      </c>
      <c r="X87" s="9">
        <f t="shared" si="31"/>
        <v>248.80878048780488</v>
      </c>
    </row>
    <row r="88" spans="1:24" x14ac:dyDescent="0.25">
      <c r="A88" s="7">
        <v>84</v>
      </c>
      <c r="B88" s="7">
        <v>91</v>
      </c>
      <c r="C88" s="16" t="s">
        <v>93</v>
      </c>
      <c r="D88" s="283">
        <v>42181.3</v>
      </c>
      <c r="E88" s="9">
        <f t="shared" si="19"/>
        <v>33745.040000000001</v>
      </c>
      <c r="F88" s="9">
        <f t="shared" si="22"/>
        <v>137.17495934959351</v>
      </c>
      <c r="G88" s="9">
        <f t="shared" si="23"/>
        <v>179.01332195121952</v>
      </c>
      <c r="H88" s="9">
        <f t="shared" si="24"/>
        <v>179.01332195121952</v>
      </c>
      <c r="K88" s="1" t="str">
        <f t="shared" si="20"/>
        <v>91 Республика Крым</v>
      </c>
      <c r="L88" s="289">
        <v>27093</v>
      </c>
      <c r="M88" s="10">
        <f t="shared" si="25"/>
        <v>165.20121951219511</v>
      </c>
      <c r="N88" s="9">
        <f t="shared" si="21"/>
        <v>234.11393234811831</v>
      </c>
      <c r="O88" s="261">
        <f t="shared" si="26"/>
        <v>29473.258983589698</v>
      </c>
      <c r="P88" s="10">
        <f t="shared" si="27"/>
        <v>179.7149938023762</v>
      </c>
      <c r="R88" s="9">
        <f t="shared" si="28"/>
        <v>234.11393234811831</v>
      </c>
      <c r="S88" s="9">
        <f t="shared" si="29"/>
        <v>234.11393234811831</v>
      </c>
      <c r="W88" s="9">
        <f t="shared" si="30"/>
        <v>33745.040000000001</v>
      </c>
      <c r="X88" s="9">
        <f t="shared" si="31"/>
        <v>179.7149938023762</v>
      </c>
    </row>
    <row r="89" spans="1:24" x14ac:dyDescent="0.25">
      <c r="A89" s="7"/>
      <c r="B89" s="7">
        <v>92</v>
      </c>
      <c r="C89" s="16" t="s">
        <v>136</v>
      </c>
      <c r="D89" s="283">
        <v>25690</v>
      </c>
      <c r="E89" s="9">
        <f t="shared" ref="E89" si="32">D89*0.8</f>
        <v>20552</v>
      </c>
      <c r="F89" s="9">
        <f t="shared" ref="F89:F93" si="33">E89/246</f>
        <v>83.544715447154474</v>
      </c>
      <c r="G89" s="9">
        <f t="shared" ref="G89:G93" si="34">F89*1.305</f>
        <v>109.02585365853658</v>
      </c>
      <c r="H89" s="9">
        <f t="shared" ref="H89:H93" si="35">IF(F89&gt;$M$5,$M$5*1.305+(F89-$M$5)*1.155,F89*1.305)</f>
        <v>109.02585365853658</v>
      </c>
      <c r="K89" s="1" t="str">
        <f t="shared" si="20"/>
        <v>92 Город федерального значения Севастополь</v>
      </c>
      <c r="L89" s="289">
        <v>27093</v>
      </c>
      <c r="M89" s="10">
        <f t="shared" ref="M89:M93" si="36">L89/164</f>
        <v>165.20121951219511</v>
      </c>
      <c r="N89" s="9">
        <f t="shared" ref="N89:N93" si="37">((M89/29.3*28*100%/12)+M89)*1.305+M89*164*24/730*3/12/164</f>
        <v>234.11393234811831</v>
      </c>
      <c r="O89" s="261">
        <f t="shared" si="26"/>
        <v>29473.258983589698</v>
      </c>
      <c r="P89" s="10">
        <f t="shared" si="27"/>
        <v>179.7149938023762</v>
      </c>
      <c r="R89" s="9">
        <f t="shared" si="28"/>
        <v>234.11393234811831</v>
      </c>
      <c r="S89" s="9">
        <f t="shared" si="29"/>
        <v>234.11393234811831</v>
      </c>
      <c r="W89" s="9">
        <f t="shared" si="30"/>
        <v>29473.258983589698</v>
      </c>
      <c r="X89" s="9">
        <f t="shared" si="31"/>
        <v>179.7149938023762</v>
      </c>
    </row>
    <row r="90" spans="1:24" x14ac:dyDescent="0.25">
      <c r="A90" s="7"/>
      <c r="B90" s="7">
        <v>80</v>
      </c>
      <c r="C90" s="16" t="s">
        <v>306</v>
      </c>
      <c r="D90" s="283">
        <v>0</v>
      </c>
      <c r="E90" s="9">
        <v>0</v>
      </c>
      <c r="F90" s="9">
        <f t="shared" si="33"/>
        <v>0</v>
      </c>
      <c r="G90" s="9">
        <f t="shared" si="34"/>
        <v>0</v>
      </c>
      <c r="H90" s="9">
        <f t="shared" si="35"/>
        <v>0</v>
      </c>
      <c r="K90" s="1" t="str">
        <f t="shared" si="20"/>
        <v>80 Донецкая Народная Республика**</v>
      </c>
      <c r="L90" s="289">
        <v>27093</v>
      </c>
      <c r="M90" s="10">
        <f t="shared" si="36"/>
        <v>165.20121951219511</v>
      </c>
      <c r="N90" s="9">
        <f t="shared" si="37"/>
        <v>234.11393234811831</v>
      </c>
      <c r="O90" s="261">
        <f t="shared" si="26"/>
        <v>29473.258983589698</v>
      </c>
      <c r="P90" s="10">
        <f t="shared" si="27"/>
        <v>179.7149938023762</v>
      </c>
      <c r="R90" s="9">
        <f t="shared" si="28"/>
        <v>234.11393234811831</v>
      </c>
      <c r="S90" s="9">
        <f t="shared" si="29"/>
        <v>234.11393234811831</v>
      </c>
      <c r="W90" s="9">
        <f t="shared" si="30"/>
        <v>29473.258983589698</v>
      </c>
      <c r="X90" s="9">
        <f t="shared" si="31"/>
        <v>179.7149938023762</v>
      </c>
    </row>
    <row r="91" spans="1:24" x14ac:dyDescent="0.25">
      <c r="A91" s="7"/>
      <c r="B91" s="7">
        <v>81</v>
      </c>
      <c r="C91" s="16" t="s">
        <v>307</v>
      </c>
      <c r="D91" s="283">
        <v>0</v>
      </c>
      <c r="E91" s="9">
        <v>0</v>
      </c>
      <c r="F91" s="9">
        <f t="shared" si="33"/>
        <v>0</v>
      </c>
      <c r="G91" s="9">
        <f t="shared" si="34"/>
        <v>0</v>
      </c>
      <c r="H91" s="9">
        <f t="shared" si="35"/>
        <v>0</v>
      </c>
      <c r="K91" s="1" t="str">
        <f t="shared" si="20"/>
        <v>81 Луганская Народная Республика**</v>
      </c>
      <c r="L91" s="289">
        <v>27093</v>
      </c>
      <c r="M91" s="10">
        <f t="shared" si="36"/>
        <v>165.20121951219511</v>
      </c>
      <c r="N91" s="9">
        <f t="shared" si="37"/>
        <v>234.11393234811831</v>
      </c>
      <c r="O91" s="261">
        <f t="shared" si="26"/>
        <v>29473.258983589698</v>
      </c>
      <c r="P91" s="10">
        <f t="shared" si="27"/>
        <v>179.7149938023762</v>
      </c>
      <c r="R91" s="9">
        <f t="shared" si="28"/>
        <v>234.11393234811831</v>
      </c>
      <c r="S91" s="9">
        <f t="shared" si="29"/>
        <v>234.11393234811831</v>
      </c>
      <c r="W91" s="9">
        <f t="shared" si="30"/>
        <v>29473.258983589698</v>
      </c>
      <c r="X91" s="9">
        <f t="shared" si="31"/>
        <v>179.7149938023762</v>
      </c>
    </row>
    <row r="92" spans="1:24" x14ac:dyDescent="0.25">
      <c r="A92" s="7">
        <v>85</v>
      </c>
      <c r="B92" s="7">
        <v>85</v>
      </c>
      <c r="C92" s="16" t="s">
        <v>308</v>
      </c>
      <c r="D92" s="283">
        <v>0</v>
      </c>
      <c r="E92" s="9">
        <v>0</v>
      </c>
      <c r="F92" s="9">
        <f t="shared" si="33"/>
        <v>0</v>
      </c>
      <c r="G92" s="9">
        <f t="shared" si="34"/>
        <v>0</v>
      </c>
      <c r="H92" s="9">
        <f t="shared" si="35"/>
        <v>0</v>
      </c>
      <c r="K92" s="1" t="str">
        <f t="shared" si="20"/>
        <v>85 Запорожская область**</v>
      </c>
      <c r="L92" s="289">
        <v>27093</v>
      </c>
      <c r="M92" s="10">
        <f t="shared" si="36"/>
        <v>165.20121951219511</v>
      </c>
      <c r="N92" s="9">
        <f t="shared" si="37"/>
        <v>234.11393234811831</v>
      </c>
      <c r="O92" s="261">
        <f t="shared" si="26"/>
        <v>29473.258983589698</v>
      </c>
      <c r="P92" s="10">
        <f t="shared" si="27"/>
        <v>179.7149938023762</v>
      </c>
      <c r="R92" s="9">
        <f t="shared" si="28"/>
        <v>234.11393234811831</v>
      </c>
      <c r="S92" s="9">
        <f t="shared" si="29"/>
        <v>234.11393234811831</v>
      </c>
      <c r="W92" s="9">
        <f t="shared" si="30"/>
        <v>29473.258983589698</v>
      </c>
      <c r="X92" s="9">
        <f t="shared" si="31"/>
        <v>179.7149938023762</v>
      </c>
    </row>
    <row r="93" spans="1:24" x14ac:dyDescent="0.25">
      <c r="B93" s="7">
        <v>84</v>
      </c>
      <c r="C93" s="16" t="s">
        <v>309</v>
      </c>
      <c r="D93" s="283">
        <v>0</v>
      </c>
      <c r="E93" s="9">
        <v>0</v>
      </c>
      <c r="F93" s="9">
        <f t="shared" si="33"/>
        <v>0</v>
      </c>
      <c r="G93" s="9">
        <f t="shared" si="34"/>
        <v>0</v>
      </c>
      <c r="H93" s="9">
        <f t="shared" si="35"/>
        <v>0</v>
      </c>
      <c r="K93" s="1" t="str">
        <f t="shared" si="20"/>
        <v>84 Херсонская область**</v>
      </c>
      <c r="L93" s="289">
        <v>27093</v>
      </c>
      <c r="M93" s="10">
        <f t="shared" si="36"/>
        <v>165.20121951219511</v>
      </c>
      <c r="N93" s="9">
        <f t="shared" si="37"/>
        <v>234.11393234811831</v>
      </c>
      <c r="O93" s="261">
        <f t="shared" si="26"/>
        <v>29473.258983589698</v>
      </c>
      <c r="P93" s="10">
        <f t="shared" si="27"/>
        <v>179.7149938023762</v>
      </c>
      <c r="R93" s="9">
        <f t="shared" si="28"/>
        <v>234.11393234811831</v>
      </c>
      <c r="S93" s="9">
        <f t="shared" si="29"/>
        <v>234.11393234811831</v>
      </c>
      <c r="W93" s="9">
        <f t="shared" si="30"/>
        <v>29473.258983589698</v>
      </c>
      <c r="X93" s="9">
        <f t="shared" si="31"/>
        <v>179.7149938023762</v>
      </c>
    </row>
    <row r="94" spans="1:24" ht="16.5" thickBot="1" x14ac:dyDescent="0.3">
      <c r="C94" s="17"/>
    </row>
    <row r="95" spans="1:24" ht="16.5" thickBot="1" x14ac:dyDescent="0.3">
      <c r="B95" s="4" t="s">
        <v>300</v>
      </c>
      <c r="C95" s="275" t="s">
        <v>312</v>
      </c>
    </row>
    <row r="96" spans="1:24" ht="16.5" thickBot="1" x14ac:dyDescent="0.3">
      <c r="B96" s="4" t="s">
        <v>305</v>
      </c>
      <c r="C96" s="275" t="s">
        <v>301</v>
      </c>
    </row>
    <row r="97" spans="3:3" ht="16.5" thickBot="1" x14ac:dyDescent="0.3">
      <c r="C97" s="17"/>
    </row>
    <row r="98" spans="3:3" ht="16.5" thickBot="1" x14ac:dyDescent="0.3">
      <c r="C98" s="17"/>
    </row>
    <row r="99" spans="3:3" ht="16.5" thickBot="1" x14ac:dyDescent="0.3">
      <c r="C99" s="17"/>
    </row>
    <row r="100" spans="3:3" ht="16.5" thickBot="1" x14ac:dyDescent="0.3">
      <c r="C100" s="17"/>
    </row>
    <row r="101" spans="3:3" ht="16.5" thickBot="1" x14ac:dyDescent="0.3">
      <c r="C101" s="18"/>
    </row>
    <row r="102" spans="3:3" ht="16.5" thickBot="1" x14ac:dyDescent="0.3">
      <c r="C102" s="17"/>
    </row>
    <row r="103" spans="3:3" ht="16.5" thickBot="1" x14ac:dyDescent="0.3">
      <c r="C103" s="17"/>
    </row>
    <row r="104" spans="3:3" ht="16.5" thickBot="1" x14ac:dyDescent="0.3">
      <c r="C104" s="17"/>
    </row>
    <row r="105" spans="3:3" ht="16.5" thickBot="1" x14ac:dyDescent="0.3">
      <c r="C105" s="17"/>
    </row>
    <row r="106" spans="3:3" ht="16.5" thickBot="1" x14ac:dyDescent="0.3">
      <c r="C106" s="17"/>
    </row>
    <row r="107" spans="3:3" ht="16.5" thickBot="1" x14ac:dyDescent="0.3">
      <c r="C107" s="17"/>
    </row>
    <row r="108" spans="3:3" ht="16.5" thickBot="1" x14ac:dyDescent="0.3">
      <c r="C108" s="17"/>
    </row>
    <row r="109" spans="3:3" ht="16.5" thickBot="1" x14ac:dyDescent="0.3">
      <c r="C109" s="18"/>
    </row>
    <row r="110" spans="3:3" ht="16.5" thickBot="1" x14ac:dyDescent="0.3">
      <c r="C110" s="17"/>
    </row>
    <row r="111" spans="3:3" ht="16.5" thickBot="1" x14ac:dyDescent="0.3">
      <c r="C111" s="17"/>
    </row>
    <row r="112" spans="3:3" ht="16.5" thickBot="1" x14ac:dyDescent="0.3">
      <c r="C112" s="17"/>
    </row>
    <row r="113" spans="3:3" ht="16.5" thickBot="1" x14ac:dyDescent="0.3">
      <c r="C113" s="17"/>
    </row>
    <row r="114" spans="3:3" ht="16.5" thickBot="1" x14ac:dyDescent="0.3">
      <c r="C114" s="17"/>
    </row>
    <row r="115" spans="3:3" ht="16.5" thickBot="1" x14ac:dyDescent="0.3">
      <c r="C115" s="17"/>
    </row>
    <row r="116" spans="3:3" ht="16.5" thickBot="1" x14ac:dyDescent="0.3">
      <c r="C116" s="17"/>
    </row>
    <row r="117" spans="3:3" ht="16.5" thickBot="1" x14ac:dyDescent="0.3">
      <c r="C117" s="17"/>
    </row>
    <row r="118" spans="3:3" ht="16.5" thickBot="1" x14ac:dyDescent="0.3">
      <c r="C118" s="17"/>
    </row>
    <row r="119" spans="3:3" ht="16.5" thickBot="1" x14ac:dyDescent="0.3">
      <c r="C119" s="17"/>
    </row>
    <row r="120" spans="3:3" ht="16.5" thickBot="1" x14ac:dyDescent="0.3">
      <c r="C120" s="17"/>
    </row>
    <row r="121" spans="3:3" ht="16.5" thickBot="1" x14ac:dyDescent="0.3">
      <c r="C121" s="17"/>
    </row>
    <row r="122" spans="3:3" ht="16.5" thickBot="1" x14ac:dyDescent="0.3">
      <c r="C122" s="17"/>
    </row>
    <row r="123" spans="3:3" ht="16.5" thickBot="1" x14ac:dyDescent="0.3">
      <c r="C123" s="17"/>
    </row>
    <row r="124" spans="3:3" ht="16.5" thickBot="1" x14ac:dyDescent="0.3">
      <c r="C124" s="17"/>
    </row>
    <row r="125" spans="3:3" ht="16.5" thickBot="1" x14ac:dyDescent="0.3">
      <c r="C125" s="17"/>
    </row>
    <row r="126" spans="3:3" ht="16.5" thickBot="1" x14ac:dyDescent="0.3">
      <c r="C126" s="17"/>
    </row>
    <row r="127" spans="3:3" ht="16.5" thickBot="1" x14ac:dyDescent="0.3">
      <c r="C127" s="17"/>
    </row>
    <row r="128" spans="3:3" ht="16.5" thickBot="1" x14ac:dyDescent="0.3">
      <c r="C128" s="17"/>
    </row>
    <row r="129" spans="3:3" ht="16.5" thickBot="1" x14ac:dyDescent="0.3">
      <c r="C129" s="17"/>
    </row>
    <row r="130" spans="3:3" ht="16.5" thickBot="1" x14ac:dyDescent="0.3">
      <c r="C130" s="17"/>
    </row>
    <row r="131" spans="3:3" ht="16.5" thickBot="1" x14ac:dyDescent="0.3">
      <c r="C131" s="17"/>
    </row>
    <row r="132" spans="3:3" ht="16.5" thickBot="1" x14ac:dyDescent="0.3">
      <c r="C132" s="17"/>
    </row>
    <row r="133" spans="3:3" ht="16.5" thickBot="1" x14ac:dyDescent="0.3">
      <c r="C133" s="17"/>
    </row>
    <row r="134" spans="3:3" ht="16.5" thickBot="1" x14ac:dyDescent="0.3">
      <c r="C134" s="17"/>
    </row>
    <row r="135" spans="3:3" ht="16.5" thickBot="1" x14ac:dyDescent="0.3">
      <c r="C135" s="18"/>
    </row>
    <row r="136" spans="3:3" ht="16.5" thickBot="1" x14ac:dyDescent="0.3">
      <c r="C136" s="17"/>
    </row>
    <row r="137" spans="3:3" ht="16.5" thickBot="1" x14ac:dyDescent="0.3">
      <c r="C137" s="17"/>
    </row>
    <row r="138" spans="3:3" ht="16.5" thickBot="1" x14ac:dyDescent="0.3">
      <c r="C138" s="18"/>
    </row>
    <row r="139" spans="3:3" ht="16.5" thickBot="1" x14ac:dyDescent="0.3">
      <c r="C139" s="18"/>
    </row>
    <row r="140" spans="3:3" ht="16.5" thickBot="1" x14ac:dyDescent="0.3">
      <c r="C140" s="17"/>
    </row>
    <row r="141" spans="3:3" ht="16.5" thickBot="1" x14ac:dyDescent="0.3">
      <c r="C141" s="17"/>
    </row>
    <row r="142" spans="3:3" ht="16.5" thickBot="1" x14ac:dyDescent="0.3">
      <c r="C142" s="18"/>
    </row>
    <row r="143" spans="3:3" ht="16.5" thickBot="1" x14ac:dyDescent="0.3">
      <c r="C143" s="17"/>
    </row>
    <row r="144" spans="3:3" ht="16.5" thickBot="1" x14ac:dyDescent="0.3">
      <c r="C144" s="17"/>
    </row>
    <row r="145" spans="3:3" ht="16.5" thickBot="1" x14ac:dyDescent="0.3">
      <c r="C145" s="17"/>
    </row>
    <row r="146" spans="3:3" ht="16.5" thickBot="1" x14ac:dyDescent="0.3">
      <c r="C146" s="17"/>
    </row>
    <row r="147" spans="3:3" ht="16.5" thickBot="1" x14ac:dyDescent="0.3">
      <c r="C147" s="17"/>
    </row>
    <row r="148" spans="3:3" ht="16.5" thickBot="1" x14ac:dyDescent="0.3">
      <c r="C148" s="17"/>
    </row>
    <row r="149" spans="3:3" ht="16.5" thickBot="1" x14ac:dyDescent="0.3">
      <c r="C149" s="17"/>
    </row>
    <row r="150" spans="3:3" ht="16.5" thickBot="1" x14ac:dyDescent="0.3">
      <c r="C150" s="17"/>
    </row>
    <row r="151" spans="3:3" ht="16.5" thickBot="1" x14ac:dyDescent="0.3">
      <c r="C151" s="17"/>
    </row>
    <row r="152" spans="3:3" ht="16.5" thickBot="1" x14ac:dyDescent="0.3">
      <c r="C152" s="17"/>
    </row>
    <row r="153" spans="3:3" ht="16.5" thickBot="1" x14ac:dyDescent="0.3">
      <c r="C153" s="17"/>
    </row>
    <row r="154" spans="3:3" ht="16.5" thickBot="1" x14ac:dyDescent="0.3">
      <c r="C154" s="17"/>
    </row>
    <row r="155" spans="3:3" ht="16.5" thickBot="1" x14ac:dyDescent="0.3">
      <c r="C155" s="17"/>
    </row>
    <row r="156" spans="3:3" ht="16.5" thickBot="1" x14ac:dyDescent="0.3">
      <c r="C156" s="17"/>
    </row>
    <row r="157" spans="3:3" ht="16.5" thickBot="1" x14ac:dyDescent="0.3">
      <c r="C157" s="17"/>
    </row>
    <row r="158" spans="3:3" ht="16.5" thickBot="1" x14ac:dyDescent="0.3">
      <c r="C158" s="17"/>
    </row>
    <row r="159" spans="3:3" ht="16.5" thickBot="1" x14ac:dyDescent="0.3">
      <c r="C159" s="17"/>
    </row>
    <row r="160" spans="3:3" ht="16.5" thickBot="1" x14ac:dyDescent="0.3">
      <c r="C160" s="17"/>
    </row>
    <row r="161" spans="3:3" ht="16.5" thickBot="1" x14ac:dyDescent="0.3">
      <c r="C161" s="17"/>
    </row>
    <row r="162" spans="3:3" ht="16.5" thickBot="1" x14ac:dyDescent="0.3">
      <c r="C162" s="17"/>
    </row>
    <row r="163" spans="3:3" ht="16.5" thickBot="1" x14ac:dyDescent="0.3">
      <c r="C163" s="17"/>
    </row>
    <row r="164" spans="3:3" ht="16.5" thickBot="1" x14ac:dyDescent="0.3">
      <c r="C164" s="17"/>
    </row>
    <row r="165" spans="3:3" ht="16.5" thickBot="1" x14ac:dyDescent="0.3">
      <c r="C165" s="17"/>
    </row>
    <row r="166" spans="3:3" ht="16.5" thickBot="1" x14ac:dyDescent="0.3">
      <c r="C166" s="17"/>
    </row>
    <row r="167" spans="3:3" ht="16.5" thickBot="1" x14ac:dyDescent="0.3">
      <c r="C167" s="17"/>
    </row>
    <row r="168" spans="3:3" ht="16.5" thickBot="1" x14ac:dyDescent="0.3">
      <c r="C168" s="17"/>
    </row>
    <row r="169" spans="3:3" ht="16.5" thickBot="1" x14ac:dyDescent="0.3">
      <c r="C169" s="17"/>
    </row>
    <row r="170" spans="3:3" ht="16.5" thickBot="1" x14ac:dyDescent="0.3">
      <c r="C170" s="17"/>
    </row>
    <row r="171" spans="3:3" ht="16.5" thickBot="1" x14ac:dyDescent="0.3">
      <c r="C171" s="17"/>
    </row>
    <row r="172" spans="3:3" ht="16.5" thickBot="1" x14ac:dyDescent="0.3">
      <c r="C172" s="17"/>
    </row>
    <row r="173" spans="3:3" ht="16.5" thickBot="1" x14ac:dyDescent="0.3">
      <c r="C173" s="17"/>
    </row>
    <row r="174" spans="3:3" ht="16.5" thickBot="1" x14ac:dyDescent="0.3">
      <c r="C174" s="19"/>
    </row>
    <row r="175" spans="3:3" ht="16.5" thickBot="1" x14ac:dyDescent="0.3">
      <c r="C175" s="18"/>
    </row>
    <row r="176" spans="3:3" ht="16.5" thickBot="1" x14ac:dyDescent="0.3">
      <c r="C176" s="17"/>
    </row>
    <row r="177" spans="3:3" ht="16.5" thickBot="1" x14ac:dyDescent="0.3">
      <c r="C177" s="17"/>
    </row>
    <row r="178" spans="3:3" ht="16.5" thickBot="1" x14ac:dyDescent="0.3">
      <c r="C178" s="17"/>
    </row>
    <row r="179" spans="3:3" ht="16.5" thickBot="1" x14ac:dyDescent="0.3">
      <c r="C179" s="17"/>
    </row>
    <row r="180" spans="3:3" ht="16.5" thickBot="1" x14ac:dyDescent="0.3">
      <c r="C180" s="17"/>
    </row>
    <row r="181" spans="3:3" ht="16.5" thickBot="1" x14ac:dyDescent="0.3">
      <c r="C181" s="20"/>
    </row>
  </sheetData>
  <sheetProtection algorithmName="SHA-512" hashValue="xybClN4CO9qSUPEW+iw+5aoE6K27YN9nQIsc2Lr9ip5NsByJ2wWaBtwSnveE6FMsUuKvDhPpH0dsDxnZNYcKEw==" saltValue="e6Efh6j2/KjJL3Vl94yGlA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A6:G89">
    <sortCondition ref="B5"/>
  </sortState>
  <mergeCells count="18">
    <mergeCell ref="W1:X1"/>
    <mergeCell ref="W2:W4"/>
    <mergeCell ref="X2:X4"/>
    <mergeCell ref="R1:S1"/>
    <mergeCell ref="R2:R4"/>
    <mergeCell ref="S2:S4"/>
    <mergeCell ref="B1:H1"/>
    <mergeCell ref="L1:P1"/>
    <mergeCell ref="B2:B4"/>
    <mergeCell ref="C2:C4"/>
    <mergeCell ref="D2:D4"/>
    <mergeCell ref="E2:F3"/>
    <mergeCell ref="G2:H3"/>
    <mergeCell ref="L2:L4"/>
    <mergeCell ref="M2:M4"/>
    <mergeCell ref="N2:N4"/>
    <mergeCell ref="O2:O4"/>
    <mergeCell ref="P2:P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77"/>
  <sheetViews>
    <sheetView showGridLines="0" zoomScale="80" zoomScaleNormal="80" workbookViewId="0">
      <pane xSplit="2" ySplit="10" topLeftCell="C62" activePane="bottomRight" state="frozen"/>
      <selection pane="topRight" activeCell="C1" sqref="C1"/>
      <selection pane="bottomLeft" activeCell="A4" sqref="A4"/>
      <selection pane="bottomRight" activeCell="G69" sqref="G69:G70"/>
    </sheetView>
  </sheetViews>
  <sheetFormatPr defaultColWidth="9.28515625" defaultRowHeight="15.75" outlineLevelRow="1" x14ac:dyDescent="0.25"/>
  <cols>
    <col min="1" max="1" width="3" style="1" customWidth="1"/>
    <col min="2" max="2" width="93.7109375" style="1" customWidth="1"/>
    <col min="3" max="3" width="21.7109375" style="1" customWidth="1"/>
    <col min="4" max="4" width="25.28515625" style="1" bestFit="1" customWidth="1"/>
    <col min="5" max="5" width="17.7109375" style="1" customWidth="1"/>
    <col min="6" max="7" width="22.42578125" style="1" customWidth="1"/>
    <col min="8" max="8" width="13.28515625" style="22" customWidth="1"/>
    <col min="9" max="9" width="48.42578125" style="1" customWidth="1"/>
    <col min="10" max="16384" width="9.28515625" style="1"/>
  </cols>
  <sheetData>
    <row r="1" spans="2:9" x14ac:dyDescent="0.25">
      <c r="B1" s="21" t="s">
        <v>64</v>
      </c>
      <c r="C1" s="308" t="s">
        <v>242</v>
      </c>
      <c r="D1" s="308"/>
      <c r="E1" s="308"/>
      <c r="I1" s="23"/>
    </row>
    <row r="2" spans="2:9" x14ac:dyDescent="0.25">
      <c r="B2" s="21" t="s">
        <v>243</v>
      </c>
      <c r="C2" s="308" t="s">
        <v>244</v>
      </c>
      <c r="D2" s="308"/>
      <c r="E2" s="308"/>
      <c r="I2" s="23"/>
    </row>
    <row r="3" spans="2:9" x14ac:dyDescent="0.25">
      <c r="B3" s="21" t="s">
        <v>65</v>
      </c>
      <c r="C3" s="308"/>
      <c r="D3" s="308"/>
      <c r="E3" s="308"/>
      <c r="I3" s="23"/>
    </row>
    <row r="4" spans="2:9" x14ac:dyDescent="0.25">
      <c r="B4" s="21" t="s">
        <v>62</v>
      </c>
      <c r="C4" s="308" t="s">
        <v>185</v>
      </c>
      <c r="D4" s="308"/>
      <c r="E4" s="308"/>
      <c r="I4" s="23"/>
    </row>
    <row r="5" spans="2:9" x14ac:dyDescent="0.25">
      <c r="B5" s="21" t="s">
        <v>66</v>
      </c>
      <c r="C5" s="308" t="s">
        <v>209</v>
      </c>
      <c r="D5" s="308"/>
      <c r="E5" s="308"/>
      <c r="I5" s="23"/>
    </row>
    <row r="6" spans="2:9" x14ac:dyDescent="0.25">
      <c r="B6" s="21" t="s">
        <v>223</v>
      </c>
      <c r="C6" s="308" t="s">
        <v>281</v>
      </c>
      <c r="D6" s="308"/>
      <c r="E6" s="308"/>
      <c r="I6" s="23"/>
    </row>
    <row r="7" spans="2:9" x14ac:dyDescent="0.25">
      <c r="B7" s="21" t="s">
        <v>63</v>
      </c>
      <c r="C7" s="308">
        <v>20000</v>
      </c>
      <c r="D7" s="308"/>
      <c r="E7" s="308"/>
      <c r="I7" s="23"/>
    </row>
    <row r="9" spans="2:9" ht="16.5" thickBot="1" x14ac:dyDescent="0.3">
      <c r="B9" s="2" t="s">
        <v>54</v>
      </c>
      <c r="C9" s="2"/>
      <c r="D9" s="21" t="s">
        <v>57</v>
      </c>
      <c r="E9" s="24">
        <v>12</v>
      </c>
    </row>
    <row r="10" spans="2:9" ht="47.25" x14ac:dyDescent="0.25">
      <c r="B10" s="182" t="s">
        <v>17</v>
      </c>
      <c r="C10" s="181"/>
      <c r="D10" s="181"/>
      <c r="E10" s="181"/>
      <c r="F10" s="181" t="s">
        <v>252</v>
      </c>
      <c r="G10" s="181" t="s">
        <v>253</v>
      </c>
      <c r="H10" s="181" t="s">
        <v>264</v>
      </c>
      <c r="I10" s="183" t="s">
        <v>16</v>
      </c>
    </row>
    <row r="11" spans="2:9" ht="22.5" customHeight="1" x14ac:dyDescent="0.25">
      <c r="B11" s="184" t="s">
        <v>29</v>
      </c>
      <c r="C11" s="25"/>
      <c r="D11" s="26"/>
      <c r="E11" s="27"/>
      <c r="F11" s="28">
        <f>SUM(F12,F13)</f>
        <v>1515057.2672163162</v>
      </c>
      <c r="G11" s="29">
        <f>SUM(G12,G13)</f>
        <v>18180687.206595793</v>
      </c>
      <c r="H11" s="30">
        <f t="shared" ref="H11:H16" si="0">IF($G$69=0,"",G11/$G$69)</f>
        <v>0.760151553025045</v>
      </c>
      <c r="I11" s="185"/>
    </row>
    <row r="12" spans="2:9" ht="24.75" customHeight="1" outlineLevel="1" x14ac:dyDescent="0.25">
      <c r="B12" s="186" t="s">
        <v>218</v>
      </c>
      <c r="C12" s="31"/>
      <c r="D12" s="32"/>
      <c r="E12" s="33"/>
      <c r="F12" s="34">
        <f>G12/$E$9</f>
        <v>1011966.2748072306</v>
      </c>
      <c r="G12" s="34">
        <f>SUM('Расчет ФОТ'!O7:S7)-'Расчет ФОТ'!T7</f>
        <v>12143595.297686767</v>
      </c>
      <c r="H12" s="187">
        <f t="shared" si="0"/>
        <v>0.50773508833567704</v>
      </c>
      <c r="I12" s="188"/>
    </row>
    <row r="13" spans="2:9" ht="22.5" customHeight="1" outlineLevel="1" x14ac:dyDescent="0.25">
      <c r="B13" s="189" t="s">
        <v>23</v>
      </c>
      <c r="C13" s="35"/>
      <c r="D13" s="190"/>
      <c r="E13" s="191"/>
      <c r="F13" s="36">
        <f>G13/$E$9</f>
        <v>503090.99240908556</v>
      </c>
      <c r="G13" s="192">
        <f>SUM(G14:G15)</f>
        <v>6037091.9089090265</v>
      </c>
      <c r="H13" s="30">
        <f t="shared" si="0"/>
        <v>0.2524164646893679</v>
      </c>
      <c r="I13" s="193"/>
    </row>
    <row r="14" spans="2:9" outlineLevel="1" x14ac:dyDescent="0.25">
      <c r="B14" s="194" t="s">
        <v>19</v>
      </c>
      <c r="C14" s="37">
        <v>0.13</v>
      </c>
      <c r="D14" s="195"/>
      <c r="E14" s="196"/>
      <c r="F14" s="38">
        <f>G14/$E$9</f>
        <v>151213.35140797694</v>
      </c>
      <c r="G14" s="47">
        <f>'Расчет ФОТ'!T7</f>
        <v>1814560.2168957232</v>
      </c>
      <c r="H14" s="90">
        <f t="shared" si="0"/>
        <v>7.5868461475445986E-2</v>
      </c>
      <c r="I14" s="193"/>
    </row>
    <row r="15" spans="2:9" ht="16.5" outlineLevel="1" thickBot="1" x14ac:dyDescent="0.3">
      <c r="B15" s="263" t="s">
        <v>299</v>
      </c>
      <c r="C15" s="266">
        <v>0.30499999999999999</v>
      </c>
      <c r="D15" s="40"/>
      <c r="E15" s="41"/>
      <c r="F15" s="42">
        <f>G15/$E$9</f>
        <v>351877.64100110857</v>
      </c>
      <c r="G15" s="41">
        <f>'Расчет ФОТ'!U7</f>
        <v>4222531.6920133028</v>
      </c>
      <c r="H15" s="267">
        <f t="shared" si="0"/>
        <v>0.17654800321392192</v>
      </c>
      <c r="I15" s="268"/>
    </row>
    <row r="16" spans="2:9" ht="21.75" customHeight="1" x14ac:dyDescent="0.25">
      <c r="B16" s="198" t="s">
        <v>8</v>
      </c>
      <c r="C16" s="264" t="s">
        <v>18</v>
      </c>
      <c r="D16" s="265" t="s">
        <v>30</v>
      </c>
      <c r="E16" s="199"/>
      <c r="F16" s="36">
        <f>SUM(F17:F20)</f>
        <v>74166.666666666657</v>
      </c>
      <c r="G16" s="192">
        <f>SUM(G17:G20)</f>
        <v>890000</v>
      </c>
      <c r="H16" s="30">
        <f t="shared" si="0"/>
        <v>3.7211733225730279E-2</v>
      </c>
      <c r="I16" s="58"/>
    </row>
    <row r="17" spans="2:9" outlineLevel="1" x14ac:dyDescent="0.25">
      <c r="B17" s="200" t="s">
        <v>7</v>
      </c>
      <c r="C17" s="45">
        <v>1</v>
      </c>
      <c r="D17" s="46">
        <v>240000</v>
      </c>
      <c r="E17" s="57"/>
      <c r="F17" s="38">
        <f>G17/$E$9</f>
        <v>20000</v>
      </c>
      <c r="G17" s="47">
        <f>C17*D17</f>
        <v>240000</v>
      </c>
      <c r="H17" s="39"/>
      <c r="I17" s="58"/>
    </row>
    <row r="18" spans="2:9" outlineLevel="1" x14ac:dyDescent="0.25">
      <c r="B18" s="200" t="s">
        <v>254</v>
      </c>
      <c r="C18" s="45">
        <v>1</v>
      </c>
      <c r="D18" s="46">
        <v>150000</v>
      </c>
      <c r="E18" s="57"/>
      <c r="F18" s="38">
        <f t="shared" ref="F18:F19" si="1">G18/$E$9</f>
        <v>12500</v>
      </c>
      <c r="G18" s="47">
        <f t="shared" ref="G18:G19" si="2">C18*D18</f>
        <v>150000</v>
      </c>
      <c r="H18" s="39"/>
      <c r="I18" s="58"/>
    </row>
    <row r="19" spans="2:9" outlineLevel="1" x14ac:dyDescent="0.25">
      <c r="B19" s="200" t="s">
        <v>255</v>
      </c>
      <c r="C19" s="45">
        <v>1</v>
      </c>
      <c r="D19" s="46">
        <v>500000</v>
      </c>
      <c r="E19" s="57"/>
      <c r="F19" s="38">
        <f t="shared" si="1"/>
        <v>41666.666666666664</v>
      </c>
      <c r="G19" s="47">
        <f t="shared" si="2"/>
        <v>500000</v>
      </c>
      <c r="H19" s="39"/>
      <c r="I19" s="58"/>
    </row>
    <row r="20" spans="2:9" ht="16.5" outlineLevel="1" thickBot="1" x14ac:dyDescent="0.3">
      <c r="B20" s="201" t="s">
        <v>6</v>
      </c>
      <c r="C20" s="45"/>
      <c r="D20" s="46"/>
      <c r="E20" s="48"/>
      <c r="F20" s="38">
        <f>G20/$E$9</f>
        <v>0</v>
      </c>
      <c r="G20" s="47">
        <f>C20*D20</f>
        <v>0</v>
      </c>
      <c r="H20" s="49"/>
      <c r="I20" s="61"/>
    </row>
    <row r="21" spans="2:9" ht="22.5" customHeight="1" x14ac:dyDescent="0.25">
      <c r="B21" s="50" t="s">
        <v>1</v>
      </c>
      <c r="C21" s="43" t="s">
        <v>18</v>
      </c>
      <c r="D21" s="44" t="s">
        <v>30</v>
      </c>
      <c r="E21" s="51"/>
      <c r="F21" s="52">
        <f>SUM(F22:F29)</f>
        <v>14166.666666666668</v>
      </c>
      <c r="G21" s="53">
        <f>SUM(G22:G29)</f>
        <v>170000</v>
      </c>
      <c r="H21" s="30">
        <f>IF($G$69=0,"",G21/$G$69)</f>
        <v>7.1078591554765693E-3</v>
      </c>
      <c r="I21" s="55"/>
    </row>
    <row r="22" spans="2:9" outlineLevel="1" x14ac:dyDescent="0.25">
      <c r="B22" s="56" t="s">
        <v>31</v>
      </c>
      <c r="C22" s="45">
        <v>1</v>
      </c>
      <c r="D22" s="46">
        <v>120000</v>
      </c>
      <c r="E22" s="57"/>
      <c r="F22" s="38">
        <f>G22/$E$9</f>
        <v>10000</v>
      </c>
      <c r="G22" s="47">
        <f>C22*D22</f>
        <v>120000</v>
      </c>
      <c r="H22" s="39"/>
      <c r="I22" s="58"/>
    </row>
    <row r="23" spans="2:9" outlineLevel="1" x14ac:dyDescent="0.25">
      <c r="B23" s="56" t="s">
        <v>32</v>
      </c>
      <c r="C23" s="45"/>
      <c r="D23" s="46"/>
      <c r="E23" s="57"/>
      <c r="F23" s="38">
        <f>G23/$E$9</f>
        <v>0</v>
      </c>
      <c r="G23" s="47">
        <f>C23*D23</f>
        <v>0</v>
      </c>
      <c r="H23" s="39"/>
      <c r="I23" s="58"/>
    </row>
    <row r="24" spans="2:9" outlineLevel="1" x14ac:dyDescent="0.25">
      <c r="B24" s="56" t="s">
        <v>33</v>
      </c>
      <c r="C24" s="45"/>
      <c r="D24" s="46"/>
      <c r="E24" s="57"/>
      <c r="F24" s="38">
        <f t="shared" ref="F24:F28" si="3">G24/$E$9</f>
        <v>0</v>
      </c>
      <c r="G24" s="47">
        <f t="shared" ref="G24:G28" si="4">C24*D24</f>
        <v>0</v>
      </c>
      <c r="H24" s="39"/>
      <c r="I24" s="58"/>
    </row>
    <row r="25" spans="2:9" outlineLevel="1" x14ac:dyDescent="0.25">
      <c r="B25" s="56" t="s">
        <v>282</v>
      </c>
      <c r="C25" s="45"/>
      <c r="D25" s="46"/>
      <c r="E25" s="57"/>
      <c r="F25" s="38">
        <f t="shared" si="3"/>
        <v>0</v>
      </c>
      <c r="G25" s="47">
        <f t="shared" si="4"/>
        <v>0</v>
      </c>
      <c r="H25" s="39"/>
      <c r="I25" s="58"/>
    </row>
    <row r="26" spans="2:9" outlineLevel="1" x14ac:dyDescent="0.25">
      <c r="B26" s="56" t="s">
        <v>283</v>
      </c>
      <c r="C26" s="45"/>
      <c r="D26" s="46"/>
      <c r="E26" s="57"/>
      <c r="F26" s="38">
        <f t="shared" si="3"/>
        <v>0</v>
      </c>
      <c r="G26" s="47">
        <f t="shared" si="4"/>
        <v>0</v>
      </c>
      <c r="H26" s="39"/>
      <c r="I26" s="58"/>
    </row>
    <row r="27" spans="2:9" outlineLevel="1" x14ac:dyDescent="0.25">
      <c r="B27" s="56" t="s">
        <v>284</v>
      </c>
      <c r="C27" s="45"/>
      <c r="D27" s="46"/>
      <c r="E27" s="57"/>
      <c r="F27" s="38">
        <f t="shared" si="3"/>
        <v>0</v>
      </c>
      <c r="G27" s="47">
        <f t="shared" si="4"/>
        <v>0</v>
      </c>
      <c r="H27" s="39"/>
      <c r="I27" s="58"/>
    </row>
    <row r="28" spans="2:9" outlineLevel="1" x14ac:dyDescent="0.25">
      <c r="B28" s="56" t="s">
        <v>285</v>
      </c>
      <c r="C28" s="45">
        <v>1</v>
      </c>
      <c r="D28" s="46">
        <v>50000</v>
      </c>
      <c r="E28" s="57"/>
      <c r="F28" s="38">
        <f t="shared" si="3"/>
        <v>4166.666666666667</v>
      </c>
      <c r="G28" s="47">
        <f t="shared" si="4"/>
        <v>50000</v>
      </c>
      <c r="H28" s="39"/>
      <c r="I28" s="58"/>
    </row>
    <row r="29" spans="2:9" ht="16.5" outlineLevel="1" thickBot="1" x14ac:dyDescent="0.3">
      <c r="B29" s="56" t="s">
        <v>286</v>
      </c>
      <c r="C29" s="59"/>
      <c r="D29" s="60"/>
      <c r="E29" s="48"/>
      <c r="F29" s="38">
        <f>G29/$E$9</f>
        <v>0</v>
      </c>
      <c r="G29" s="47">
        <f>C29*D29</f>
        <v>0</v>
      </c>
      <c r="H29" s="49"/>
      <c r="I29" s="61"/>
    </row>
    <row r="30" spans="2:9" ht="22.5" customHeight="1" x14ac:dyDescent="0.25">
      <c r="B30" s="50" t="s">
        <v>2</v>
      </c>
      <c r="C30" s="43" t="s">
        <v>18</v>
      </c>
      <c r="D30" s="44" t="s">
        <v>30</v>
      </c>
      <c r="E30" s="51"/>
      <c r="F30" s="52">
        <f>SUM(F31:F38)</f>
        <v>6416.666666666667</v>
      </c>
      <c r="G30" s="53">
        <f>SUM(G31:G38)</f>
        <v>77000</v>
      </c>
      <c r="H30" s="30">
        <f>IF($G$69=0,"",G30/$G$69)</f>
        <v>3.2194420880687991E-3</v>
      </c>
      <c r="I30" s="55"/>
    </row>
    <row r="31" spans="2:9" ht="18" customHeight="1" outlineLevel="1" x14ac:dyDescent="0.25">
      <c r="B31" s="56" t="s">
        <v>39</v>
      </c>
      <c r="C31" s="45">
        <v>8</v>
      </c>
      <c r="D31" s="46">
        <v>5000</v>
      </c>
      <c r="E31" s="57"/>
      <c r="F31" s="38">
        <f>G31/$E$9</f>
        <v>3333.3333333333335</v>
      </c>
      <c r="G31" s="47">
        <f>C31*D31</f>
        <v>40000</v>
      </c>
      <c r="H31" s="39"/>
      <c r="I31" s="58"/>
    </row>
    <row r="32" spans="2:9" ht="18" customHeight="1" outlineLevel="1" x14ac:dyDescent="0.25">
      <c r="B32" s="56" t="s">
        <v>34</v>
      </c>
      <c r="C32" s="45"/>
      <c r="D32" s="46"/>
      <c r="E32" s="57"/>
      <c r="F32" s="38">
        <f t="shared" ref="F32:F37" si="5">G32/$E$9</f>
        <v>0</v>
      </c>
      <c r="G32" s="47">
        <f t="shared" ref="G32:G37" si="6">C32*D32</f>
        <v>0</v>
      </c>
      <c r="H32" s="39"/>
      <c r="I32" s="58"/>
    </row>
    <row r="33" spans="2:9" ht="18" customHeight="1" outlineLevel="1" x14ac:dyDescent="0.25">
      <c r="B33" s="56" t="s">
        <v>256</v>
      </c>
      <c r="C33" s="45"/>
      <c r="D33" s="46"/>
      <c r="E33" s="57"/>
      <c r="F33" s="38">
        <f t="shared" ref="F33:F36" si="7">G33/$E$9</f>
        <v>0</v>
      </c>
      <c r="G33" s="47">
        <f t="shared" ref="G33:G36" si="8">C33*D33</f>
        <v>0</v>
      </c>
      <c r="H33" s="39"/>
      <c r="I33" s="58"/>
    </row>
    <row r="34" spans="2:9" ht="18" customHeight="1" outlineLevel="1" x14ac:dyDescent="0.25">
      <c r="B34" s="56" t="s">
        <v>257</v>
      </c>
      <c r="C34" s="45"/>
      <c r="D34" s="46"/>
      <c r="E34" s="57"/>
      <c r="F34" s="38">
        <f t="shared" si="7"/>
        <v>0</v>
      </c>
      <c r="G34" s="47">
        <f t="shared" si="8"/>
        <v>0</v>
      </c>
      <c r="H34" s="39"/>
      <c r="I34" s="58"/>
    </row>
    <row r="35" spans="2:9" ht="18" customHeight="1" outlineLevel="1" x14ac:dyDescent="0.25">
      <c r="B35" s="56" t="s">
        <v>287</v>
      </c>
      <c r="C35" s="45"/>
      <c r="D35" s="46"/>
      <c r="E35" s="57"/>
      <c r="F35" s="38">
        <f t="shared" si="7"/>
        <v>0</v>
      </c>
      <c r="G35" s="47">
        <f t="shared" si="8"/>
        <v>0</v>
      </c>
      <c r="H35" s="39"/>
      <c r="I35" s="58"/>
    </row>
    <row r="36" spans="2:9" ht="18" customHeight="1" outlineLevel="1" x14ac:dyDescent="0.25">
      <c r="B36" s="56" t="s">
        <v>288</v>
      </c>
      <c r="C36" s="45">
        <v>3</v>
      </c>
      <c r="D36" s="46">
        <v>10000</v>
      </c>
      <c r="E36" s="57"/>
      <c r="F36" s="38">
        <f t="shared" si="7"/>
        <v>2500</v>
      </c>
      <c r="G36" s="47">
        <f t="shared" si="8"/>
        <v>30000</v>
      </c>
      <c r="H36" s="39"/>
      <c r="I36" s="58"/>
    </row>
    <row r="37" spans="2:9" ht="18" customHeight="1" outlineLevel="1" x14ac:dyDescent="0.25">
      <c r="B37" s="56" t="s">
        <v>289</v>
      </c>
      <c r="C37" s="45">
        <v>1</v>
      </c>
      <c r="D37" s="46">
        <v>7000</v>
      </c>
      <c r="E37" s="57"/>
      <c r="F37" s="38">
        <f t="shared" si="5"/>
        <v>583.33333333333337</v>
      </c>
      <c r="G37" s="47">
        <f t="shared" si="6"/>
        <v>7000</v>
      </c>
      <c r="H37" s="39"/>
      <c r="I37" s="58"/>
    </row>
    <row r="38" spans="2:9" ht="18" customHeight="1" outlineLevel="1" thickBot="1" x14ac:dyDescent="0.3">
      <c r="B38" s="56" t="s">
        <v>290</v>
      </c>
      <c r="C38" s="45"/>
      <c r="D38" s="46"/>
      <c r="E38" s="57"/>
      <c r="F38" s="38">
        <f>G38/$E$9</f>
        <v>0</v>
      </c>
      <c r="G38" s="47">
        <f>C38*D38</f>
        <v>0</v>
      </c>
      <c r="H38" s="49"/>
      <c r="I38" s="61"/>
    </row>
    <row r="39" spans="2:9" x14ac:dyDescent="0.25">
      <c r="B39" s="304" t="s">
        <v>3</v>
      </c>
      <c r="C39" s="62"/>
      <c r="D39" s="62"/>
      <c r="E39" s="63"/>
      <c r="F39" s="52">
        <f>SUM(F41:F47)</f>
        <v>41011.904761904763</v>
      </c>
      <c r="G39" s="64">
        <f>SUM(G41:G47)</f>
        <v>492142.85714285716</v>
      </c>
      <c r="H39" s="54">
        <f>IF($G$69=0,"",G39/$G$69)</f>
        <v>2.0576953605560323E-2</v>
      </c>
      <c r="I39" s="202"/>
    </row>
    <row r="40" spans="2:9" ht="47.25" x14ac:dyDescent="0.25">
      <c r="B40" s="305"/>
      <c r="C40" s="7" t="s">
        <v>18</v>
      </c>
      <c r="D40" s="15" t="s">
        <v>30</v>
      </c>
      <c r="E40" s="15" t="s">
        <v>216</v>
      </c>
      <c r="F40" s="65"/>
      <c r="G40" s="66"/>
      <c r="H40" s="203"/>
      <c r="I40" s="306"/>
    </row>
    <row r="41" spans="2:9" ht="31.5" outlineLevel="1" x14ac:dyDescent="0.25">
      <c r="B41" s="67" t="s">
        <v>41</v>
      </c>
      <c r="C41" s="68">
        <v>1</v>
      </c>
      <c r="D41" s="24">
        <v>900000</v>
      </c>
      <c r="E41" s="24">
        <v>60</v>
      </c>
      <c r="F41" s="38">
        <f t="shared" ref="F41:F47" si="9">D41/E41*C41</f>
        <v>15000</v>
      </c>
      <c r="G41" s="69">
        <f t="shared" ref="G41:G47" si="10">F41*$E$9</f>
        <v>180000</v>
      </c>
      <c r="H41" s="203"/>
      <c r="I41" s="306"/>
    </row>
    <row r="42" spans="2:9" ht="31.5" outlineLevel="1" x14ac:dyDescent="0.25">
      <c r="B42" s="67" t="s">
        <v>213</v>
      </c>
      <c r="C42" s="68">
        <v>1</v>
      </c>
      <c r="D42" s="24">
        <v>110000</v>
      </c>
      <c r="E42" s="24">
        <v>24</v>
      </c>
      <c r="F42" s="38">
        <f t="shared" si="9"/>
        <v>4583.333333333333</v>
      </c>
      <c r="G42" s="69">
        <f t="shared" si="10"/>
        <v>55000</v>
      </c>
      <c r="H42" s="203"/>
      <c r="I42" s="306"/>
    </row>
    <row r="43" spans="2:9" ht="47.25" outlineLevel="1" x14ac:dyDescent="0.25">
      <c r="B43" s="67" t="s">
        <v>214</v>
      </c>
      <c r="C43" s="68"/>
      <c r="D43" s="24"/>
      <c r="E43" s="24">
        <v>36</v>
      </c>
      <c r="F43" s="38">
        <f t="shared" si="9"/>
        <v>0</v>
      </c>
      <c r="G43" s="69">
        <f t="shared" si="10"/>
        <v>0</v>
      </c>
      <c r="H43" s="203"/>
      <c r="I43" s="306"/>
    </row>
    <row r="44" spans="2:9" ht="31.5" outlineLevel="1" x14ac:dyDescent="0.25">
      <c r="B44" s="67" t="s">
        <v>42</v>
      </c>
      <c r="C44" s="68">
        <v>1</v>
      </c>
      <c r="D44" s="24">
        <v>1800000</v>
      </c>
      <c r="E44" s="24">
        <v>84</v>
      </c>
      <c r="F44" s="38">
        <f t="shared" si="9"/>
        <v>21428.571428571428</v>
      </c>
      <c r="G44" s="69">
        <f t="shared" si="10"/>
        <v>257142.85714285713</v>
      </c>
      <c r="H44" s="203"/>
      <c r="I44" s="306"/>
    </row>
    <row r="45" spans="2:9" ht="47.25" outlineLevel="1" x14ac:dyDescent="0.25">
      <c r="B45" s="67" t="s">
        <v>44</v>
      </c>
      <c r="C45" s="68"/>
      <c r="D45" s="24"/>
      <c r="E45" s="24">
        <v>84</v>
      </c>
      <c r="F45" s="38">
        <f t="shared" si="9"/>
        <v>0</v>
      </c>
      <c r="G45" s="69">
        <f t="shared" si="10"/>
        <v>0</v>
      </c>
      <c r="H45" s="203"/>
      <c r="I45" s="306"/>
    </row>
    <row r="46" spans="2:9" ht="47.25" outlineLevel="1" x14ac:dyDescent="0.25">
      <c r="B46" s="67" t="s">
        <v>43</v>
      </c>
      <c r="C46" s="68"/>
      <c r="D46" s="24"/>
      <c r="E46" s="24">
        <v>84</v>
      </c>
      <c r="F46" s="38">
        <f t="shared" si="9"/>
        <v>0</v>
      </c>
      <c r="G46" s="69">
        <f t="shared" si="10"/>
        <v>0</v>
      </c>
      <c r="H46" s="203"/>
      <c r="I46" s="306"/>
    </row>
    <row r="47" spans="2:9" ht="32.25" outlineLevel="1" thickBot="1" x14ac:dyDescent="0.3">
      <c r="B47" s="70" t="s">
        <v>215</v>
      </c>
      <c r="C47" s="71"/>
      <c r="D47" s="72"/>
      <c r="E47" s="72">
        <v>36</v>
      </c>
      <c r="F47" s="38">
        <f t="shared" si="9"/>
        <v>0</v>
      </c>
      <c r="G47" s="69">
        <f t="shared" si="10"/>
        <v>0</v>
      </c>
      <c r="H47" s="204"/>
      <c r="I47" s="307"/>
    </row>
    <row r="48" spans="2:9" ht="24.75" customHeight="1" thickBot="1" x14ac:dyDescent="0.3">
      <c r="B48" s="73" t="s">
        <v>35</v>
      </c>
      <c r="C48" s="74"/>
      <c r="D48" s="75"/>
      <c r="E48" s="76"/>
      <c r="F48" s="77">
        <f>G48/$E$9</f>
        <v>16666.666666666668</v>
      </c>
      <c r="G48" s="78">
        <v>200000</v>
      </c>
      <c r="H48" s="90">
        <f>IF($G$69=0,"",G48/$G$69)</f>
        <v>8.3621872417371408E-3</v>
      </c>
      <c r="I48" s="80"/>
    </row>
    <row r="49" spans="2:9" ht="22.5" customHeight="1" x14ac:dyDescent="0.25">
      <c r="B49" s="198" t="s">
        <v>4</v>
      </c>
      <c r="C49" s="7" t="s">
        <v>18</v>
      </c>
      <c r="D49" s="15" t="s">
        <v>50</v>
      </c>
      <c r="E49" s="199"/>
      <c r="F49" s="65">
        <f>SUM(F50:F54)</f>
        <v>50000</v>
      </c>
      <c r="G49" s="205">
        <f>SUM(G50:G54)</f>
        <v>600000</v>
      </c>
      <c r="H49" s="79">
        <f>IF($G$69=0,"",G49/$G$69)</f>
        <v>2.5086561725211422E-2</v>
      </c>
      <c r="I49" s="197"/>
    </row>
    <row r="50" spans="2:9" outlineLevel="1" x14ac:dyDescent="0.25">
      <c r="B50" s="56" t="s">
        <v>9</v>
      </c>
      <c r="C50" s="292">
        <v>1</v>
      </c>
      <c r="D50" s="293">
        <v>100000</v>
      </c>
      <c r="E50" s="57"/>
      <c r="F50" s="38">
        <f t="shared" ref="F50:F62" si="11">G50/$E$9</f>
        <v>8333.3333333333339</v>
      </c>
      <c r="G50" s="47">
        <f>D50*C50</f>
        <v>100000</v>
      </c>
      <c r="H50" s="39"/>
      <c r="I50" s="197"/>
    </row>
    <row r="51" spans="2:9" outlineLevel="1" x14ac:dyDescent="0.25">
      <c r="B51" s="56" t="s">
        <v>10</v>
      </c>
      <c r="C51" s="292"/>
      <c r="D51" s="293"/>
      <c r="E51" s="57"/>
      <c r="F51" s="38">
        <f t="shared" si="11"/>
        <v>0</v>
      </c>
      <c r="G51" s="47">
        <f>D51*C51</f>
        <v>0</v>
      </c>
      <c r="H51" s="39"/>
      <c r="I51" s="197"/>
    </row>
    <row r="52" spans="2:9" outlineLevel="1" x14ac:dyDescent="0.25">
      <c r="B52" s="56" t="s">
        <v>11</v>
      </c>
      <c r="C52" s="292"/>
      <c r="D52" s="293"/>
      <c r="E52" s="57"/>
      <c r="F52" s="38">
        <f t="shared" si="11"/>
        <v>0</v>
      </c>
      <c r="G52" s="47">
        <f>D52*C52</f>
        <v>0</v>
      </c>
      <c r="H52" s="39"/>
      <c r="I52" s="197"/>
    </row>
    <row r="53" spans="2:9" outlineLevel="1" x14ac:dyDescent="0.25">
      <c r="B53" s="56" t="s">
        <v>52</v>
      </c>
      <c r="C53" s="292"/>
      <c r="D53" s="293"/>
      <c r="E53" s="57"/>
      <c r="F53" s="38">
        <f t="shared" si="11"/>
        <v>0</v>
      </c>
      <c r="G53" s="47">
        <f>D53*C53</f>
        <v>0</v>
      </c>
      <c r="H53" s="39"/>
      <c r="I53" s="197"/>
    </row>
    <row r="54" spans="2:9" outlineLevel="1" x14ac:dyDescent="0.25">
      <c r="B54" s="56" t="s">
        <v>53</v>
      </c>
      <c r="C54" s="292">
        <v>1</v>
      </c>
      <c r="D54" s="293">
        <v>500000</v>
      </c>
      <c r="E54" s="57"/>
      <c r="F54" s="38">
        <f t="shared" si="11"/>
        <v>41666.666666666664</v>
      </c>
      <c r="G54" s="47">
        <f>D54*C54</f>
        <v>500000</v>
      </c>
      <c r="H54" s="206"/>
      <c r="I54" s="197"/>
    </row>
    <row r="55" spans="2:9" ht="22.5" customHeight="1" x14ac:dyDescent="0.25">
      <c r="B55" s="184" t="s">
        <v>5</v>
      </c>
      <c r="C55" s="81"/>
      <c r="D55" s="81"/>
      <c r="E55" s="81"/>
      <c r="F55" s="34">
        <f t="shared" si="11"/>
        <v>1666.6666666666667</v>
      </c>
      <c r="G55" s="82">
        <v>20000</v>
      </c>
      <c r="H55" s="83">
        <f t="shared" ref="H55:H67" si="12">IF($G$69=0,"",G55/$G$69)</f>
        <v>8.3621872417371406E-4</v>
      </c>
      <c r="I55" s="207"/>
    </row>
    <row r="56" spans="2:9" ht="22.5" customHeight="1" x14ac:dyDescent="0.25">
      <c r="B56" s="184" t="s">
        <v>36</v>
      </c>
      <c r="C56" s="81"/>
      <c r="D56" s="81"/>
      <c r="E56" s="81"/>
      <c r="F56" s="34">
        <f t="shared" si="11"/>
        <v>0</v>
      </c>
      <c r="G56" s="82">
        <v>0</v>
      </c>
      <c r="H56" s="83">
        <f t="shared" si="12"/>
        <v>0</v>
      </c>
      <c r="I56" s="207"/>
    </row>
    <row r="57" spans="2:9" x14ac:dyDescent="0.25">
      <c r="B57" s="184" t="s">
        <v>40</v>
      </c>
      <c r="C57" s="81"/>
      <c r="D57" s="81"/>
      <c r="E57" s="81"/>
      <c r="F57" s="34">
        <f t="shared" si="11"/>
        <v>0</v>
      </c>
      <c r="G57" s="82">
        <v>0</v>
      </c>
      <c r="H57" s="83">
        <f t="shared" si="12"/>
        <v>0</v>
      </c>
      <c r="I57" s="208"/>
    </row>
    <row r="58" spans="2:9" x14ac:dyDescent="0.25">
      <c r="B58" s="184" t="s">
        <v>51</v>
      </c>
      <c r="C58" s="81"/>
      <c r="D58" s="81"/>
      <c r="E58" s="81"/>
      <c r="F58" s="34">
        <f t="shared" si="11"/>
        <v>0</v>
      </c>
      <c r="G58" s="82">
        <v>0</v>
      </c>
      <c r="H58" s="83">
        <f t="shared" si="12"/>
        <v>0</v>
      </c>
      <c r="I58" s="209"/>
    </row>
    <row r="59" spans="2:9" x14ac:dyDescent="0.25">
      <c r="B59" s="184" t="s">
        <v>13</v>
      </c>
      <c r="C59" s="81"/>
      <c r="D59" s="81"/>
      <c r="E59" s="81"/>
      <c r="F59" s="34">
        <f t="shared" si="11"/>
        <v>0</v>
      </c>
      <c r="G59" s="82">
        <v>0</v>
      </c>
      <c r="H59" s="83">
        <f t="shared" si="12"/>
        <v>0</v>
      </c>
      <c r="I59" s="208"/>
    </row>
    <row r="60" spans="2:9" x14ac:dyDescent="0.25">
      <c r="B60" s="210" t="s">
        <v>12</v>
      </c>
      <c r="C60" s="84"/>
      <c r="D60" s="84"/>
      <c r="E60" s="84"/>
      <c r="F60" s="85">
        <f t="shared" si="11"/>
        <v>0</v>
      </c>
      <c r="G60" s="86">
        <v>0</v>
      </c>
      <c r="H60" s="83">
        <f t="shared" si="12"/>
        <v>0</v>
      </c>
      <c r="I60" s="211"/>
    </row>
    <row r="61" spans="2:9" x14ac:dyDescent="0.25">
      <c r="B61" s="212"/>
      <c r="C61" s="24"/>
      <c r="D61" s="24"/>
      <c r="E61" s="24"/>
      <c r="F61" s="85">
        <f t="shared" si="11"/>
        <v>0</v>
      </c>
      <c r="G61" s="24"/>
      <c r="H61" s="83">
        <f t="shared" si="12"/>
        <v>0</v>
      </c>
      <c r="I61" s="213"/>
    </row>
    <row r="62" spans="2:9" ht="16.5" thickBot="1" x14ac:dyDescent="0.3">
      <c r="B62" s="214"/>
      <c r="C62" s="87"/>
      <c r="D62" s="87"/>
      <c r="E62" s="87"/>
      <c r="F62" s="88">
        <f t="shared" si="11"/>
        <v>0</v>
      </c>
      <c r="G62" s="87"/>
      <c r="H62" s="89">
        <f t="shared" si="12"/>
        <v>0</v>
      </c>
      <c r="I62" s="215"/>
    </row>
    <row r="63" spans="2:9" ht="55.5" customHeight="1" thickBot="1" x14ac:dyDescent="0.3">
      <c r="B63" s="216" t="s">
        <v>25</v>
      </c>
      <c r="C63" s="217"/>
      <c r="D63" s="218"/>
      <c r="E63" s="219"/>
      <c r="F63" s="220">
        <f>SUM(F11,F16,F21,F30,F39,F48,F49,F55,F56,F57,F58,F59,F60,F61:F62)</f>
        <v>1719152.5053115548</v>
      </c>
      <c r="G63" s="220">
        <f>SUM(G11,G16,G21,G30,G39,G48,G49,G55,G56,G57,G58,G59,G60,G61:G62)</f>
        <v>20629830.063738652</v>
      </c>
      <c r="H63" s="79">
        <f t="shared" si="12"/>
        <v>0.86255250879100331</v>
      </c>
      <c r="I63" s="221"/>
    </row>
    <row r="64" spans="2:9" ht="48" thickBot="1" x14ac:dyDescent="0.3">
      <c r="B64" s="222" t="s">
        <v>21</v>
      </c>
      <c r="C64" s="91" t="s">
        <v>47</v>
      </c>
      <c r="D64" s="92">
        <v>9.2999999999999999E-2</v>
      </c>
      <c r="E64" s="93" t="s">
        <v>46</v>
      </c>
      <c r="F64" s="94">
        <f>G64/$E$9</f>
        <v>159881.18299397457</v>
      </c>
      <c r="G64" s="95">
        <f>G63*D64</f>
        <v>1918574.1959276947</v>
      </c>
      <c r="H64" s="83">
        <f t="shared" si="12"/>
        <v>8.0217383317563312E-2</v>
      </c>
      <c r="I64" s="209"/>
    </row>
    <row r="65" spans="2:10" ht="54" customHeight="1" thickBot="1" x14ac:dyDescent="0.3">
      <c r="B65" s="223" t="s">
        <v>45</v>
      </c>
      <c r="C65" s="91" t="s">
        <v>48</v>
      </c>
      <c r="D65" s="96">
        <v>0.21</v>
      </c>
      <c r="E65" s="97">
        <v>30</v>
      </c>
      <c r="F65" s="98">
        <f>G65/$E$9</f>
        <v>52263.750291248783</v>
      </c>
      <c r="G65" s="99">
        <f>-PMT(D65/12,$E$9,(G11+G16+G39+G48+G49+G55+G56+G57+G58+G59+G60+G61+G62)/365*E65+SUMPRODUCT(C41:C47,D41:D47)*1.2+G21*1.2+G30*1.2)*$E$9-((G11+G16+G39+G48+G49+G55+G56+G57+G58+G59+G60+G61+G62)/365*E65+SUMPRODUCT(C41:C47,D41:D47)*1.2+G21*1.2+G30*1.2)</f>
        <v>627165.0034949854</v>
      </c>
      <c r="H65" s="89">
        <f t="shared" si="12"/>
        <v>2.6222355953448982E-2</v>
      </c>
      <c r="I65" s="224"/>
    </row>
    <row r="66" spans="2:10" ht="21" customHeight="1" thickBot="1" x14ac:dyDescent="0.3">
      <c r="B66" s="225" t="s">
        <v>26</v>
      </c>
      <c r="C66" s="226"/>
      <c r="D66" s="227"/>
      <c r="E66" s="228"/>
      <c r="F66" s="220">
        <f>SUM(F63:F65)</f>
        <v>1931297.4385967781</v>
      </c>
      <c r="G66" s="220">
        <f>SUM(G63:G65)</f>
        <v>23175569.263161331</v>
      </c>
      <c r="H66" s="54">
        <f t="shared" si="12"/>
        <v>0.96899224806201556</v>
      </c>
      <c r="I66" s="229"/>
      <c r="J66" s="100"/>
    </row>
    <row r="67" spans="2:10" ht="66.75" customHeight="1" thickBot="1" x14ac:dyDescent="0.3">
      <c r="B67" s="230" t="s">
        <v>27</v>
      </c>
      <c r="C67" s="91" t="s">
        <v>49</v>
      </c>
      <c r="D67" s="96">
        <v>3.2000000000000001E-2</v>
      </c>
      <c r="E67" s="101"/>
      <c r="F67" s="34">
        <f>G67/$E$9</f>
        <v>61801.51803509688</v>
      </c>
      <c r="G67" s="33">
        <f>G66*D67</f>
        <v>741618.21642116259</v>
      </c>
      <c r="H67" s="83">
        <f t="shared" si="12"/>
        <v>3.1007751937984499E-2</v>
      </c>
      <c r="I67" s="209"/>
    </row>
    <row r="68" spans="2:10" ht="16.5" thickBot="1" x14ac:dyDescent="0.3">
      <c r="B68" s="231" t="s">
        <v>186</v>
      </c>
      <c r="C68" s="232">
        <v>0.25</v>
      </c>
      <c r="D68" s="40"/>
      <c r="E68" s="233"/>
      <c r="F68" s="88">
        <f>F67*C68</f>
        <v>15450.37950877422</v>
      </c>
      <c r="G68" s="234">
        <f>G67*C68</f>
        <v>185404.55410529065</v>
      </c>
      <c r="H68" s="89"/>
      <c r="I68" s="224"/>
    </row>
    <row r="69" spans="2:10" ht="22.5" customHeight="1" thickBot="1" x14ac:dyDescent="0.3">
      <c r="B69" s="235" t="s">
        <v>20</v>
      </c>
      <c r="C69" s="236"/>
      <c r="D69" s="237"/>
      <c r="E69" s="238"/>
      <c r="F69" s="239">
        <f>SUM(F66:F67)</f>
        <v>1993098.9566318749</v>
      </c>
      <c r="G69" s="239">
        <f>SUM(G66:G67)</f>
        <v>23917187.479582492</v>
      </c>
      <c r="H69" s="240"/>
      <c r="I69" s="241"/>
    </row>
    <row r="70" spans="2:10" ht="22.5" customHeight="1" x14ac:dyDescent="0.25">
      <c r="B70" s="242" t="s">
        <v>24</v>
      </c>
      <c r="C70" s="291">
        <v>0.22</v>
      </c>
      <c r="D70" s="243"/>
      <c r="E70" s="244"/>
      <c r="F70" s="245">
        <f>C70*F69</f>
        <v>438481.77045901248</v>
      </c>
      <c r="G70" s="246">
        <f>C70*G69</f>
        <v>5261781.2455081483</v>
      </c>
      <c r="H70" s="247"/>
      <c r="I70" s="248"/>
    </row>
    <row r="71" spans="2:10" ht="25.5" customHeight="1" thickBot="1" x14ac:dyDescent="0.3">
      <c r="B71" s="249" t="s">
        <v>314</v>
      </c>
      <c r="C71" s="250"/>
      <c r="D71" s="250"/>
      <c r="E71" s="251"/>
      <c r="F71" s="252">
        <f>SUM(F69:F70)</f>
        <v>2431580.7270908873</v>
      </c>
      <c r="G71" s="252">
        <f>SUM(G69:G70)</f>
        <v>29178968.725090642</v>
      </c>
      <c r="H71" s="253"/>
      <c r="I71" s="254"/>
    </row>
    <row r="73" spans="2:10" x14ac:dyDescent="0.25">
      <c r="G73" s="102"/>
    </row>
    <row r="74" spans="2:10" x14ac:dyDescent="0.25">
      <c r="F74" s="284"/>
      <c r="G74" s="284"/>
    </row>
    <row r="76" spans="2:10" x14ac:dyDescent="0.25">
      <c r="G76" s="104"/>
    </row>
    <row r="77" spans="2:10" x14ac:dyDescent="0.25">
      <c r="G77" s="103"/>
    </row>
  </sheetData>
  <sheetProtection algorithmName="SHA-512" hashValue="4fkpTqfxeCH9crTQA7BDmyiZSWzF5H4Jk4gshtwNRq+k6GBy2TkgRhhXKs20kBm3AR47QoulspMYVl0mVBuEvQ==" saltValue="8z6v83WFB9tpYjhDWRGr9w==" spinCount="100000" sheet="1" formatCells="0" formatColumns="0" formatRows="0" insertColumns="0" insertRows="0" insertHyperlinks="0" deleteColumns="0" deleteRows="0"/>
  <mergeCells count="9">
    <mergeCell ref="B39:B40"/>
    <mergeCell ref="I40:I47"/>
    <mergeCell ref="C1:E1"/>
    <mergeCell ref="C3:E3"/>
    <mergeCell ref="C4:E4"/>
    <mergeCell ref="C5:E5"/>
    <mergeCell ref="C6:E6"/>
    <mergeCell ref="C7:E7"/>
    <mergeCell ref="C2:E2"/>
  </mergeCells>
  <phoneticPr fontId="18" type="noConversion"/>
  <pageMargins left="0.70866141732283472" right="0.11811023622047245" top="0.74803149606299213" bottom="0.74803149606299213" header="0.31496062992125984" footer="0.31496062992125984"/>
  <pageSetup paperSize="9" scale="42" orientation="landscape" horizontalDpi="4294967295" verticalDpi="4294967295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200-000000000000}">
          <x14:formula1>
            <xm:f>'Статистическая ЗП'!$U$5:$U$30</xm:f>
          </x14:formula1>
          <xm:sqref>C5</xm:sqref>
        </x14:dataValidation>
        <x14:dataValidation type="list" allowBlank="1" showInputMessage="1" showErrorMessage="1" xr:uid="{00000000-0002-0000-0200-000001000000}">
          <x14:formula1>
            <xm:f>'Статистическая ЗП'!$V$5:$V$6</xm:f>
          </x14:formula1>
          <xm:sqref>C2:E2</xm:sqref>
        </x14:dataValidation>
        <x14:dataValidation type="list" allowBlank="1" showInputMessage="1" showErrorMessage="1" xr:uid="{00000000-0002-0000-0200-000002000000}">
          <x14:formula1>
            <xm:f>'Статистическая ЗП'!$K$5:$K$93</xm:f>
          </x14:formula1>
          <xm:sqref>C4:E4</xm:sqref>
        </x14:dataValidation>
        <x14:dataValidation type="list" allowBlank="1" showInputMessage="1" showErrorMessage="1" xr:uid="{215F9877-8131-4B55-A97B-60A763ECB569}">
          <x14:formula1>
            <xm:f>'Статистическая ЗП'!$AC$2:$AC$4</xm:f>
          </x14:formula1>
          <xm:sqref>C70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D53"/>
  <sheetViews>
    <sheetView showGridLines="0" zoomScale="80" zoomScaleNormal="80" zoomScaleSheetLayoutView="5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V9" sqref="V9"/>
    </sheetView>
  </sheetViews>
  <sheetFormatPr defaultColWidth="9.28515625" defaultRowHeight="15.75" x14ac:dyDescent="0.25"/>
  <cols>
    <col min="1" max="1" width="3.28515625" style="4" customWidth="1"/>
    <col min="2" max="2" width="49.85546875" style="148" customWidth="1"/>
    <col min="3" max="3" width="10.42578125" style="4" customWidth="1"/>
    <col min="4" max="4" width="18.7109375" style="4" customWidth="1"/>
    <col min="5" max="5" width="22.28515625" style="4" bestFit="1" customWidth="1"/>
    <col min="6" max="9" width="11" style="4" customWidth="1"/>
    <col min="10" max="20" width="15.42578125" style="4" customWidth="1"/>
    <col min="21" max="21" width="15.28515625" style="4" customWidth="1"/>
    <col min="22" max="24" width="15.42578125" style="4" customWidth="1"/>
    <col min="25" max="26" width="14.7109375" style="4" customWidth="1"/>
    <col min="27" max="29" width="3.42578125" style="4" customWidth="1"/>
    <col min="30" max="31" width="11.28515625" style="4" customWidth="1"/>
    <col min="32" max="16384" width="9.28515625" style="4"/>
  </cols>
  <sheetData>
    <row r="1" spans="2:30" ht="16.5" thickBot="1" x14ac:dyDescent="0.3"/>
    <row r="2" spans="2:30" ht="15.75" customHeight="1" x14ac:dyDescent="0.25">
      <c r="B2" s="332"/>
      <c r="C2" s="309" t="s">
        <v>225</v>
      </c>
      <c r="D2" s="310"/>
      <c r="E2" s="310"/>
      <c r="F2" s="310"/>
      <c r="G2" s="310"/>
      <c r="H2" s="310"/>
      <c r="I2" s="310"/>
      <c r="J2" s="339" t="s">
        <v>232</v>
      </c>
      <c r="K2" s="340"/>
      <c r="L2" s="340"/>
      <c r="M2" s="340"/>
      <c r="N2" s="340"/>
      <c r="O2" s="340"/>
      <c r="P2" s="309" t="s">
        <v>273</v>
      </c>
      <c r="Q2" s="310"/>
      <c r="R2" s="310"/>
      <c r="S2" s="310"/>
      <c r="T2" s="310"/>
      <c r="U2" s="311"/>
      <c r="V2" s="325" t="s">
        <v>274</v>
      </c>
      <c r="W2" s="327" t="s">
        <v>241</v>
      </c>
      <c r="X2" s="327" t="s">
        <v>240</v>
      </c>
      <c r="Y2" s="321" t="s">
        <v>239</v>
      </c>
      <c r="Z2" s="323" t="s">
        <v>227</v>
      </c>
    </row>
    <row r="3" spans="2:30" ht="16.5" thickBot="1" x14ac:dyDescent="0.3">
      <c r="B3" s="333"/>
      <c r="C3" s="312"/>
      <c r="D3" s="313"/>
      <c r="E3" s="313"/>
      <c r="F3" s="313"/>
      <c r="G3" s="313"/>
      <c r="H3" s="313"/>
      <c r="I3" s="313"/>
      <c r="J3" s="337" t="s">
        <v>237</v>
      </c>
      <c r="K3" s="338"/>
      <c r="L3" s="338"/>
      <c r="M3" s="343" t="s">
        <v>236</v>
      </c>
      <c r="N3" s="344"/>
      <c r="O3" s="344"/>
      <c r="P3" s="312"/>
      <c r="Q3" s="313"/>
      <c r="R3" s="313"/>
      <c r="S3" s="313"/>
      <c r="T3" s="313"/>
      <c r="U3" s="314"/>
      <c r="V3" s="326"/>
      <c r="W3" s="328"/>
      <c r="X3" s="328"/>
      <c r="Y3" s="322"/>
      <c r="Z3" s="324"/>
    </row>
    <row r="4" spans="2:30" ht="96.75" customHeight="1" x14ac:dyDescent="0.25">
      <c r="B4" s="333"/>
      <c r="C4" s="318" t="s">
        <v>28</v>
      </c>
      <c r="D4" s="316" t="s">
        <v>14</v>
      </c>
      <c r="E4" s="316" t="s">
        <v>260</v>
      </c>
      <c r="F4" s="341" t="s">
        <v>58</v>
      </c>
      <c r="G4" s="341" t="s">
        <v>59</v>
      </c>
      <c r="H4" s="316" t="s">
        <v>15</v>
      </c>
      <c r="I4" s="319" t="s">
        <v>60</v>
      </c>
      <c r="J4" s="335" t="s">
        <v>233</v>
      </c>
      <c r="K4" s="315" t="s">
        <v>234</v>
      </c>
      <c r="L4" s="315" t="s">
        <v>235</v>
      </c>
      <c r="M4" s="315" t="s">
        <v>238</v>
      </c>
      <c r="N4" s="315" t="s">
        <v>275</v>
      </c>
      <c r="O4" s="319" t="s">
        <v>276</v>
      </c>
      <c r="P4" s="317" t="s">
        <v>228</v>
      </c>
      <c r="Q4" s="315" t="s">
        <v>229</v>
      </c>
      <c r="R4" s="315" t="s">
        <v>230</v>
      </c>
      <c r="S4" s="315" t="s">
        <v>231</v>
      </c>
      <c r="T4" s="315" t="s">
        <v>19</v>
      </c>
      <c r="U4" s="262" t="s">
        <v>299</v>
      </c>
      <c r="V4" s="318" t="s">
        <v>226</v>
      </c>
      <c r="W4" s="316"/>
      <c r="X4" s="320"/>
      <c r="Y4" s="322"/>
      <c r="Z4" s="324"/>
    </row>
    <row r="5" spans="2:30" ht="34.5" customHeight="1" x14ac:dyDescent="0.25">
      <c r="B5" s="334"/>
      <c r="C5" s="329"/>
      <c r="D5" s="330"/>
      <c r="E5" s="330"/>
      <c r="F5" s="342"/>
      <c r="G5" s="342"/>
      <c r="H5" s="330"/>
      <c r="I5" s="320"/>
      <c r="J5" s="336"/>
      <c r="K5" s="316"/>
      <c r="L5" s="316"/>
      <c r="M5" s="316"/>
      <c r="N5" s="316"/>
      <c r="O5" s="320"/>
      <c r="P5" s="318"/>
      <c r="Q5" s="316"/>
      <c r="R5" s="316"/>
      <c r="S5" s="316"/>
      <c r="T5" s="316"/>
      <c r="U5" s="114">
        <v>0.30499999999999999</v>
      </c>
      <c r="V5" s="329"/>
      <c r="W5" s="330"/>
      <c r="X5" s="331"/>
      <c r="Y5" s="322"/>
      <c r="Z5" s="324"/>
    </row>
    <row r="6" spans="2:30" ht="18.75" x14ac:dyDescent="0.25">
      <c r="B6" s="149" t="s">
        <v>0</v>
      </c>
      <c r="C6" s="115"/>
      <c r="D6" s="151"/>
      <c r="E6" s="151"/>
      <c r="F6" s="116"/>
      <c r="G6" s="116"/>
      <c r="H6" s="117"/>
      <c r="I6" s="118"/>
      <c r="J6" s="119"/>
      <c r="K6" s="120"/>
      <c r="L6" s="151"/>
      <c r="M6" s="117"/>
      <c r="N6" s="117"/>
      <c r="O6" s="118"/>
      <c r="P6" s="121"/>
      <c r="Q6" s="117"/>
      <c r="R6" s="117"/>
      <c r="S6" s="122"/>
      <c r="T6" s="122"/>
      <c r="U6" s="122"/>
      <c r="V6" s="107">
        <f>SUM(V9:V43)</f>
        <v>18180687.20659579</v>
      </c>
      <c r="W6" s="105"/>
      <c r="X6" s="108"/>
      <c r="Y6" s="109"/>
      <c r="Z6" s="155"/>
    </row>
    <row r="7" spans="2:30" x14ac:dyDescent="0.25">
      <c r="B7" s="149" t="s">
        <v>22</v>
      </c>
      <c r="C7" s="123"/>
      <c r="D7" s="110"/>
      <c r="E7" s="110"/>
      <c r="F7" s="112"/>
      <c r="G7" s="112"/>
      <c r="H7" s="112"/>
      <c r="I7" s="127">
        <f t="shared" ref="I7" si="0">SUM(I9:I43)</f>
        <v>37591.839999999997</v>
      </c>
      <c r="J7" s="124"/>
      <c r="K7" s="125"/>
      <c r="L7" s="125"/>
      <c r="M7" s="125"/>
      <c r="N7" s="126">
        <f>SUM(N9:N43)</f>
        <v>10770000</v>
      </c>
      <c r="O7" s="127">
        <f>SUM(O9:O43)</f>
        <v>12379310.344827589</v>
      </c>
      <c r="P7" s="128">
        <f>SUM(P9:P43)</f>
        <v>443869.73180076631</v>
      </c>
      <c r="Q7" s="126">
        <f>SUM(Q9:Q43)</f>
        <v>1021186.1266939529</v>
      </c>
      <c r="R7" s="126">
        <f t="shared" ref="R7:S7" si="1">SUM(R9:R43)</f>
        <v>0</v>
      </c>
      <c r="S7" s="126">
        <f t="shared" si="1"/>
        <v>113789.31126018333</v>
      </c>
      <c r="T7" s="126">
        <f>SUM(T9:T44)</f>
        <v>1814560.2168957232</v>
      </c>
      <c r="U7" s="126">
        <f>SUM(U9:U44)</f>
        <v>4222531.6920133028</v>
      </c>
      <c r="V7" s="129"/>
      <c r="W7" s="125"/>
      <c r="X7" s="130"/>
      <c r="Y7" s="131"/>
      <c r="Z7" s="156"/>
    </row>
    <row r="8" spans="2:30" x14ac:dyDescent="0.25">
      <c r="B8" s="150"/>
      <c r="C8" s="132"/>
      <c r="D8" s="106"/>
      <c r="E8" s="106"/>
      <c r="F8" s="112"/>
      <c r="G8" s="112"/>
      <c r="H8" s="112"/>
      <c r="I8" s="130"/>
      <c r="J8" s="124"/>
      <c r="K8" s="125"/>
      <c r="L8" s="125"/>
      <c r="M8" s="133"/>
      <c r="N8" s="125"/>
      <c r="O8" s="130"/>
      <c r="P8" s="129"/>
      <c r="Q8" s="125"/>
      <c r="R8" s="125"/>
      <c r="S8" s="125"/>
      <c r="T8" s="125"/>
      <c r="U8" s="125"/>
      <c r="V8" s="129"/>
      <c r="W8" s="125"/>
      <c r="X8" s="130"/>
      <c r="Y8" s="131"/>
      <c r="Z8" s="156"/>
    </row>
    <row r="9" spans="2:30" x14ac:dyDescent="0.25">
      <c r="B9" s="111" t="s">
        <v>318</v>
      </c>
      <c r="C9" s="123">
        <v>1</v>
      </c>
      <c r="D9" s="110" t="s">
        <v>324</v>
      </c>
      <c r="E9" s="110" t="s">
        <v>187</v>
      </c>
      <c r="F9" s="134">
        <v>8</v>
      </c>
      <c r="G9" s="134">
        <v>20.54</v>
      </c>
      <c r="H9" s="134">
        <v>12</v>
      </c>
      <c r="I9" s="130">
        <f t="shared" ref="I9:I43" si="2">H9*G9*F9*C9</f>
        <v>1971.84</v>
      </c>
      <c r="J9" s="135">
        <v>70000</v>
      </c>
      <c r="K9" s="125">
        <f t="shared" ref="K9:K43" si="3">IF(G9&gt;0,J9/G9,)</f>
        <v>3407.9844206426487</v>
      </c>
      <c r="L9" s="125">
        <f t="shared" ref="L9:L43" si="4">IF(F9&gt;0,K9/F9,)</f>
        <v>425.99805258033109</v>
      </c>
      <c r="M9" s="125">
        <f t="shared" ref="M9:M43" si="5">C9*J9</f>
        <v>70000</v>
      </c>
      <c r="N9" s="125">
        <f t="shared" ref="N9:N43" si="6">M9*H9</f>
        <v>840000</v>
      </c>
      <c r="O9" s="130">
        <f t="shared" ref="O9:O43" si="7">N9/0.87</f>
        <v>965517.24137931038</v>
      </c>
      <c r="P9" s="136"/>
      <c r="Q9" s="134">
        <f>IF(I9&gt;0,(O9+P9)/I9/29.3*28*100%/12*I9,0)</f>
        <v>76889.882703699346</v>
      </c>
      <c r="R9" s="134"/>
      <c r="S9" s="125">
        <f t="shared" ref="S9:S43" si="8">SUM(O9:R9)*2/730*3</f>
        <v>8567.729786983642</v>
      </c>
      <c r="T9" s="125">
        <f t="shared" ref="T9:T43" si="9">SUM(O9:S9)*13%</f>
        <v>136626.73100309915</v>
      </c>
      <c r="U9" s="125">
        <f>IF(O9&gt;0,SUM('Расчет ФОТ'!O9:R9)*'Расчет ФОТ'!$U$5,0)</f>
        <v>317934.17284531798</v>
      </c>
      <c r="V9" s="129">
        <f t="shared" ref="V9:V43" si="10">SUM(O9:S9,U9:U9)</f>
        <v>1368909.0267153115</v>
      </c>
      <c r="W9" s="125">
        <f t="shared" ref="W9:W43" si="11">IF(H9&gt;0,V9/H9,0)</f>
        <v>114075.75222627596</v>
      </c>
      <c r="X9" s="137">
        <f t="shared" ref="X9:X43" si="12">IF(I9&gt;0,V9/I9,)</f>
        <v>694.22926135757029</v>
      </c>
      <c r="Y9" s="153">
        <f>IF(X9&gt;0,IF(Калькуляция!$C$2='Статистическая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>401.59639756097562</v>
      </c>
      <c r="Z9" s="157">
        <f>IF(X9&gt;0,(X9-Y9)/Y9,"")</f>
        <v>0.72867402589726504</v>
      </c>
      <c r="AD9" s="152">
        <f>(3121)/12*H9*C9</f>
        <v>3121</v>
      </c>
    </row>
    <row r="10" spans="2:30" x14ac:dyDescent="0.25">
      <c r="B10" s="111"/>
      <c r="C10" s="123"/>
      <c r="D10" s="110"/>
      <c r="E10" s="110"/>
      <c r="F10" s="134"/>
      <c r="G10" s="134"/>
      <c r="H10" s="134"/>
      <c r="I10" s="130">
        <f t="shared" si="2"/>
        <v>0</v>
      </c>
      <c r="J10" s="135"/>
      <c r="K10" s="125">
        <f t="shared" si="3"/>
        <v>0</v>
      </c>
      <c r="L10" s="125">
        <f t="shared" si="4"/>
        <v>0</v>
      </c>
      <c r="M10" s="125">
        <f t="shared" si="5"/>
        <v>0</v>
      </c>
      <c r="N10" s="125">
        <f t="shared" si="6"/>
        <v>0</v>
      </c>
      <c r="O10" s="130">
        <f t="shared" si="7"/>
        <v>0</v>
      </c>
      <c r="P10" s="136">
        <f t="shared" ref="P10:P43" si="13">IF(K10&gt;0,K10/0.87*14/30*G10/12*H10*C10,)</f>
        <v>0</v>
      </c>
      <c r="Q10" s="134">
        <f>IF(I10&gt;0,(O10+P10)/I10/29.3*28*100%/12*I10,0)</f>
        <v>0</v>
      </c>
      <c r="R10" s="134"/>
      <c r="S10" s="125">
        <f t="shared" si="8"/>
        <v>0</v>
      </c>
      <c r="T10" s="125">
        <f t="shared" si="9"/>
        <v>0</v>
      </c>
      <c r="U10" s="125">
        <f>IF(O10&gt;0,SUM('Расчет ФОТ'!O10:R10)*'Расчет ФОТ'!$U$5,0)</f>
        <v>0</v>
      </c>
      <c r="V10" s="129">
        <f t="shared" si="10"/>
        <v>0</v>
      </c>
      <c r="W10" s="125">
        <f t="shared" si="11"/>
        <v>0</v>
      </c>
      <c r="X10" s="137">
        <f t="shared" si="12"/>
        <v>0</v>
      </c>
      <c r="Y10" s="153" t="str">
        <f>IF(X10&gt;0,IF(Калькуляция!$C$2='Статистическая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0" s="157" t="str">
        <f t="shared" ref="Z10:Z43" si="14">IF(X10&gt;0,(X10-Y10)/Y10,"")</f>
        <v/>
      </c>
      <c r="AD10" s="152">
        <f t="shared" ref="AD10:AD43" si="15">(3121)/12*H10*C10</f>
        <v>0</v>
      </c>
    </row>
    <row r="11" spans="2:30" x14ac:dyDescent="0.25">
      <c r="B11" s="111"/>
      <c r="C11" s="123"/>
      <c r="D11" s="110"/>
      <c r="E11" s="110"/>
      <c r="F11" s="112"/>
      <c r="G11" s="112"/>
      <c r="H11" s="112"/>
      <c r="I11" s="130">
        <f t="shared" si="2"/>
        <v>0</v>
      </c>
      <c r="J11" s="138"/>
      <c r="K11" s="125">
        <f t="shared" si="3"/>
        <v>0</v>
      </c>
      <c r="L11" s="125">
        <f t="shared" si="4"/>
        <v>0</v>
      </c>
      <c r="M11" s="125">
        <f t="shared" si="5"/>
        <v>0</v>
      </c>
      <c r="N11" s="125">
        <f t="shared" si="6"/>
        <v>0</v>
      </c>
      <c r="O11" s="130">
        <f t="shared" si="7"/>
        <v>0</v>
      </c>
      <c r="P11" s="136">
        <f t="shared" si="13"/>
        <v>0</v>
      </c>
      <c r="Q11" s="134">
        <f>IF(I11&gt;0,(O11+P11)/I11/29.3*28*100%/12*I11,0)</f>
        <v>0</v>
      </c>
      <c r="R11" s="134"/>
      <c r="S11" s="125">
        <f t="shared" si="8"/>
        <v>0</v>
      </c>
      <c r="T11" s="125">
        <f t="shared" si="9"/>
        <v>0</v>
      </c>
      <c r="U11" s="125">
        <f>IF(O11&gt;0,SUM('Расчет ФОТ'!O11:R11)*'Расчет ФОТ'!$U$5,0)</f>
        <v>0</v>
      </c>
      <c r="V11" s="129">
        <f t="shared" si="10"/>
        <v>0</v>
      </c>
      <c r="W11" s="125">
        <f t="shared" si="11"/>
        <v>0</v>
      </c>
      <c r="X11" s="137">
        <f t="shared" si="12"/>
        <v>0</v>
      </c>
      <c r="Y11" s="153" t="str">
        <f>IF(X11&gt;0,IF(Калькуляция!$C$2='Статистическая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1" s="157" t="str">
        <f t="shared" si="14"/>
        <v/>
      </c>
      <c r="AD11" s="152">
        <f t="shared" si="15"/>
        <v>0</v>
      </c>
    </row>
    <row r="12" spans="2:30" x14ac:dyDescent="0.25">
      <c r="B12" s="111"/>
      <c r="C12" s="123"/>
      <c r="D12" s="110"/>
      <c r="E12" s="110"/>
      <c r="F12" s="112"/>
      <c r="G12" s="112"/>
      <c r="H12" s="112"/>
      <c r="I12" s="130">
        <f t="shared" si="2"/>
        <v>0</v>
      </c>
      <c r="J12" s="138"/>
      <c r="K12" s="125">
        <f t="shared" si="3"/>
        <v>0</v>
      </c>
      <c r="L12" s="125">
        <f t="shared" si="4"/>
        <v>0</v>
      </c>
      <c r="M12" s="125">
        <f t="shared" si="5"/>
        <v>0</v>
      </c>
      <c r="N12" s="125">
        <f t="shared" si="6"/>
        <v>0</v>
      </c>
      <c r="O12" s="130">
        <f t="shared" si="7"/>
        <v>0</v>
      </c>
      <c r="P12" s="136">
        <f t="shared" si="13"/>
        <v>0</v>
      </c>
      <c r="Q12" s="134">
        <f>IF(I12&gt;0,(O12+P12)/I12/29.3*28*100%/12*I12,0)</f>
        <v>0</v>
      </c>
      <c r="R12" s="134"/>
      <c r="S12" s="125">
        <f t="shared" si="8"/>
        <v>0</v>
      </c>
      <c r="T12" s="125">
        <f t="shared" si="9"/>
        <v>0</v>
      </c>
      <c r="U12" s="125">
        <f>IF(O12&gt;0,SUM('Расчет ФОТ'!O12:R12)*'Расчет ФОТ'!$U$5,0)</f>
        <v>0</v>
      </c>
      <c r="V12" s="129">
        <f t="shared" si="10"/>
        <v>0</v>
      </c>
      <c r="W12" s="125">
        <f t="shared" si="11"/>
        <v>0</v>
      </c>
      <c r="X12" s="137">
        <f t="shared" si="12"/>
        <v>0</v>
      </c>
      <c r="Y12" s="153" t="str">
        <f>IF(X12&gt;0,IF(Калькуляция!$C$2='Статистическая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2" s="157" t="str">
        <f t="shared" si="14"/>
        <v/>
      </c>
      <c r="AD12" s="152">
        <f t="shared" si="15"/>
        <v>0</v>
      </c>
    </row>
    <row r="13" spans="2:30" x14ac:dyDescent="0.25">
      <c r="B13" s="111" t="s">
        <v>319</v>
      </c>
      <c r="C13" s="123">
        <v>5</v>
      </c>
      <c r="D13" s="110" t="s">
        <v>325</v>
      </c>
      <c r="E13" s="110" t="s">
        <v>259</v>
      </c>
      <c r="F13" s="112">
        <v>10</v>
      </c>
      <c r="G13" s="112">
        <v>26</v>
      </c>
      <c r="H13" s="112">
        <v>12</v>
      </c>
      <c r="I13" s="130">
        <f t="shared" si="2"/>
        <v>15600</v>
      </c>
      <c r="J13" s="135">
        <v>70000</v>
      </c>
      <c r="K13" s="125">
        <f t="shared" si="3"/>
        <v>2692.3076923076924</v>
      </c>
      <c r="L13" s="125">
        <f t="shared" si="4"/>
        <v>269.23076923076923</v>
      </c>
      <c r="M13" s="125">
        <f t="shared" si="5"/>
        <v>350000</v>
      </c>
      <c r="N13" s="125">
        <f t="shared" si="6"/>
        <v>4200000</v>
      </c>
      <c r="O13" s="130">
        <f t="shared" si="7"/>
        <v>4827586.2068965519</v>
      </c>
      <c r="P13" s="136">
        <f t="shared" si="13"/>
        <v>187739.46360153257</v>
      </c>
      <c r="Q13" s="134">
        <f>IF(H13&gt;0,(O13+P13)/H13/29.3*28*100%/12*H13,0)</f>
        <v>399400.22404421598</v>
      </c>
      <c r="R13" s="134"/>
      <c r="S13" s="125">
        <f t="shared" si="8"/>
        <v>44504.596393498359</v>
      </c>
      <c r="T13" s="125">
        <f t="shared" si="9"/>
        <v>709699.96382165386</v>
      </c>
      <c r="U13" s="125">
        <f>IF(O13&gt;0,SUM('Расчет ФОТ'!O13:R13)*'Расчет ФОТ'!$U$5,0)</f>
        <v>1651491.3978354016</v>
      </c>
      <c r="V13" s="129">
        <f t="shared" si="10"/>
        <v>7110721.8887712006</v>
      </c>
      <c r="W13" s="125">
        <f t="shared" si="11"/>
        <v>592560.15739760001</v>
      </c>
      <c r="X13" s="137">
        <f t="shared" si="12"/>
        <v>455.81550569046158</v>
      </c>
      <c r="Y13" s="153">
        <f>IF(X13&gt;0,IF(Калькуляция!$C$2='Статистическая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>401.59639756097562</v>
      </c>
      <c r="Z13" s="157">
        <f t="shared" si="14"/>
        <v>0.13500895042579086</v>
      </c>
      <c r="AD13" s="152">
        <f t="shared" si="15"/>
        <v>15605</v>
      </c>
    </row>
    <row r="14" spans="2:30" x14ac:dyDescent="0.25">
      <c r="B14" s="111" t="s">
        <v>320</v>
      </c>
      <c r="C14" s="123">
        <v>3</v>
      </c>
      <c r="D14" s="110" t="s">
        <v>325</v>
      </c>
      <c r="E14" s="110" t="s">
        <v>259</v>
      </c>
      <c r="F14" s="112">
        <v>10</v>
      </c>
      <c r="G14" s="112">
        <v>26</v>
      </c>
      <c r="H14" s="112">
        <v>12</v>
      </c>
      <c r="I14" s="130">
        <f t="shared" si="2"/>
        <v>9360</v>
      </c>
      <c r="J14" s="135">
        <v>75000</v>
      </c>
      <c r="K14" s="125">
        <f t="shared" si="3"/>
        <v>2884.6153846153848</v>
      </c>
      <c r="L14" s="125">
        <f t="shared" si="4"/>
        <v>288.46153846153845</v>
      </c>
      <c r="M14" s="125">
        <f t="shared" si="5"/>
        <v>225000</v>
      </c>
      <c r="N14" s="125">
        <f t="shared" si="6"/>
        <v>2700000</v>
      </c>
      <c r="O14" s="130">
        <f t="shared" si="7"/>
        <v>3103448.2758620689</v>
      </c>
      <c r="P14" s="136">
        <f t="shared" si="13"/>
        <v>120689.65517241381</v>
      </c>
      <c r="Q14" s="134">
        <f t="shared" ref="Q14:Q43" si="16">IF(I14&gt;0,(O14+P14)/I14/29.3*28*100%/12*I14,0)</f>
        <v>256757.28688556745</v>
      </c>
      <c r="R14" s="134"/>
      <c r="S14" s="125">
        <f t="shared" si="8"/>
        <v>28610.097681534658</v>
      </c>
      <c r="T14" s="125">
        <f t="shared" si="9"/>
        <v>456235.69102820603</v>
      </c>
      <c r="U14" s="125">
        <f>IF(O14&gt;0,SUM('Расчет ФОТ'!O14:R14)*'Расчет ФОТ'!$U$5,0)</f>
        <v>1061673.0414656152</v>
      </c>
      <c r="V14" s="129">
        <f t="shared" si="10"/>
        <v>4571178.3570671994</v>
      </c>
      <c r="W14" s="125">
        <f t="shared" si="11"/>
        <v>380931.52975559997</v>
      </c>
      <c r="X14" s="137">
        <f t="shared" si="12"/>
        <v>488.37375609692299</v>
      </c>
      <c r="Y14" s="153">
        <f>IF(X14&gt;0,IF(Калькуляция!$C$2='Статистическая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>401.59639756097562</v>
      </c>
      <c r="Z14" s="157">
        <f t="shared" si="14"/>
        <v>0.21608101831334703</v>
      </c>
      <c r="AD14" s="152">
        <f t="shared" si="15"/>
        <v>9363</v>
      </c>
    </row>
    <row r="15" spans="2:30" x14ac:dyDescent="0.25">
      <c r="B15" s="111"/>
      <c r="C15" s="123"/>
      <c r="D15" s="110"/>
      <c r="E15" s="110"/>
      <c r="F15" s="112"/>
      <c r="G15" s="112"/>
      <c r="H15" s="112"/>
      <c r="I15" s="130">
        <f t="shared" si="2"/>
        <v>0</v>
      </c>
      <c r="J15" s="135"/>
      <c r="K15" s="125">
        <f t="shared" si="3"/>
        <v>0</v>
      </c>
      <c r="L15" s="125">
        <f t="shared" si="4"/>
        <v>0</v>
      </c>
      <c r="M15" s="125">
        <f t="shared" si="5"/>
        <v>0</v>
      </c>
      <c r="N15" s="125">
        <f t="shared" si="6"/>
        <v>0</v>
      </c>
      <c r="O15" s="130">
        <f t="shared" si="7"/>
        <v>0</v>
      </c>
      <c r="P15" s="136">
        <f t="shared" si="13"/>
        <v>0</v>
      </c>
      <c r="Q15" s="134">
        <f t="shared" si="16"/>
        <v>0</v>
      </c>
      <c r="R15" s="134"/>
      <c r="S15" s="125">
        <f t="shared" si="8"/>
        <v>0</v>
      </c>
      <c r="T15" s="125">
        <f t="shared" si="9"/>
        <v>0</v>
      </c>
      <c r="U15" s="125">
        <f>IF(O15&gt;0,SUM('Расчет ФОТ'!O15:R15)*'Расчет ФОТ'!$U$5,0)</f>
        <v>0</v>
      </c>
      <c r="V15" s="129">
        <f t="shared" si="10"/>
        <v>0</v>
      </c>
      <c r="W15" s="125">
        <f t="shared" si="11"/>
        <v>0</v>
      </c>
      <c r="X15" s="137">
        <f t="shared" si="12"/>
        <v>0</v>
      </c>
      <c r="Y15" s="153" t="str">
        <f>IF(X15&gt;0,IF(Калькуляция!$C$2='Статистическая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5" s="157" t="str">
        <f t="shared" si="14"/>
        <v/>
      </c>
      <c r="AD15" s="152">
        <f t="shared" si="15"/>
        <v>0</v>
      </c>
    </row>
    <row r="16" spans="2:30" x14ac:dyDescent="0.25">
      <c r="B16" s="111" t="s">
        <v>321</v>
      </c>
      <c r="C16" s="123">
        <v>1</v>
      </c>
      <c r="D16" s="110" t="s">
        <v>325</v>
      </c>
      <c r="E16" s="110" t="s">
        <v>259</v>
      </c>
      <c r="F16" s="112">
        <v>10</v>
      </c>
      <c r="G16" s="112">
        <v>26</v>
      </c>
      <c r="H16" s="112">
        <v>12</v>
      </c>
      <c r="I16" s="130">
        <f t="shared" si="2"/>
        <v>3120</v>
      </c>
      <c r="J16" s="135">
        <v>75000</v>
      </c>
      <c r="K16" s="125">
        <f t="shared" si="3"/>
        <v>2884.6153846153848</v>
      </c>
      <c r="L16" s="125">
        <f t="shared" si="4"/>
        <v>288.46153846153845</v>
      </c>
      <c r="M16" s="125">
        <f t="shared" si="5"/>
        <v>75000</v>
      </c>
      <c r="N16" s="125">
        <f t="shared" si="6"/>
        <v>900000</v>
      </c>
      <c r="O16" s="130">
        <f t="shared" si="7"/>
        <v>1034482.7586206896</v>
      </c>
      <c r="P16" s="136">
        <f t="shared" si="13"/>
        <v>40229.885057471271</v>
      </c>
      <c r="Q16" s="134">
        <f t="shared" si="16"/>
        <v>85585.762295189154</v>
      </c>
      <c r="R16" s="134"/>
      <c r="S16" s="125">
        <f t="shared" si="8"/>
        <v>9536.6992271782183</v>
      </c>
      <c r="T16" s="125">
        <f t="shared" si="9"/>
        <v>152078.56367606868</v>
      </c>
      <c r="U16" s="125">
        <f>IF(O16&gt;0,SUM('Расчет ФОТ'!O16:R16)*'Расчет ФОТ'!$U$5,0)</f>
        <v>353891.01382187172</v>
      </c>
      <c r="V16" s="129">
        <f t="shared" si="10"/>
        <v>1523726.1190223999</v>
      </c>
      <c r="W16" s="125">
        <f t="shared" si="11"/>
        <v>126977.1765852</v>
      </c>
      <c r="X16" s="137">
        <f t="shared" si="12"/>
        <v>488.37375609692305</v>
      </c>
      <c r="Y16" s="153">
        <f>IF(X16&gt;0,IF(Калькуляция!$C$2='Статистическая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>401.59639756097562</v>
      </c>
      <c r="Z16" s="157">
        <f t="shared" si="14"/>
        <v>0.2160810183133472</v>
      </c>
      <c r="AD16" s="152">
        <f t="shared" si="15"/>
        <v>3121</v>
      </c>
    </row>
    <row r="17" spans="2:30" x14ac:dyDescent="0.25">
      <c r="B17" s="111"/>
      <c r="C17" s="123"/>
      <c r="D17" s="110"/>
      <c r="E17" s="110"/>
      <c r="F17" s="112"/>
      <c r="G17" s="112"/>
      <c r="H17" s="112"/>
      <c r="I17" s="130">
        <f t="shared" si="2"/>
        <v>0</v>
      </c>
      <c r="J17" s="135"/>
      <c r="K17" s="125">
        <f t="shared" si="3"/>
        <v>0</v>
      </c>
      <c r="L17" s="125">
        <f t="shared" si="4"/>
        <v>0</v>
      </c>
      <c r="M17" s="125">
        <f t="shared" si="5"/>
        <v>0</v>
      </c>
      <c r="N17" s="125">
        <f t="shared" si="6"/>
        <v>0</v>
      </c>
      <c r="O17" s="130">
        <f t="shared" si="7"/>
        <v>0</v>
      </c>
      <c r="P17" s="136">
        <f t="shared" si="13"/>
        <v>0</v>
      </c>
      <c r="Q17" s="134">
        <f t="shared" si="16"/>
        <v>0</v>
      </c>
      <c r="R17" s="134"/>
      <c r="S17" s="125">
        <f t="shared" si="8"/>
        <v>0</v>
      </c>
      <c r="T17" s="125">
        <f t="shared" si="9"/>
        <v>0</v>
      </c>
      <c r="U17" s="125">
        <f>IF(O17&gt;0,SUM('Расчет ФОТ'!O17:R17)*'Расчет ФОТ'!$U$5,0)</f>
        <v>0</v>
      </c>
      <c r="V17" s="129">
        <f t="shared" si="10"/>
        <v>0</v>
      </c>
      <c r="W17" s="125">
        <f t="shared" si="11"/>
        <v>0</v>
      </c>
      <c r="X17" s="137">
        <f t="shared" si="12"/>
        <v>0</v>
      </c>
      <c r="Y17" s="153" t="str">
        <f>IF(X17&gt;0,IF(Калькуляция!$C$2='Статистическая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7" s="157" t="str">
        <f t="shared" si="14"/>
        <v/>
      </c>
      <c r="AD17" s="152">
        <f t="shared" si="15"/>
        <v>0</v>
      </c>
    </row>
    <row r="18" spans="2:30" x14ac:dyDescent="0.25">
      <c r="B18" s="111" t="s">
        <v>322</v>
      </c>
      <c r="C18" s="123">
        <v>2</v>
      </c>
      <c r="D18" s="110" t="s">
        <v>325</v>
      </c>
      <c r="E18" s="110" t="s">
        <v>259</v>
      </c>
      <c r="F18" s="112">
        <v>10</v>
      </c>
      <c r="G18" s="112">
        <v>26</v>
      </c>
      <c r="H18" s="112">
        <v>12</v>
      </c>
      <c r="I18" s="130">
        <f t="shared" si="2"/>
        <v>6240</v>
      </c>
      <c r="J18" s="135">
        <v>70000</v>
      </c>
      <c r="K18" s="125">
        <f t="shared" si="3"/>
        <v>2692.3076923076924</v>
      </c>
      <c r="L18" s="125">
        <f t="shared" si="4"/>
        <v>269.23076923076923</v>
      </c>
      <c r="M18" s="125">
        <f t="shared" si="5"/>
        <v>140000</v>
      </c>
      <c r="N18" s="125">
        <f t="shared" si="6"/>
        <v>1680000</v>
      </c>
      <c r="O18" s="130">
        <f t="shared" si="7"/>
        <v>1931034.4827586208</v>
      </c>
      <c r="P18" s="136">
        <f t="shared" si="13"/>
        <v>75095.785440613021</v>
      </c>
      <c r="Q18" s="134">
        <f t="shared" si="16"/>
        <v>159760.08961768643</v>
      </c>
      <c r="R18" s="134"/>
      <c r="S18" s="125">
        <f t="shared" si="8"/>
        <v>17801.838557399344</v>
      </c>
      <c r="T18" s="125">
        <f t="shared" si="9"/>
        <v>283879.98552866152</v>
      </c>
      <c r="U18" s="125">
        <f>IF(O18&gt;0,SUM('Расчет ФОТ'!O18:R18)*'Расчет ФОТ'!$U$5,0)</f>
        <v>660596.55913416063</v>
      </c>
      <c r="V18" s="129">
        <f t="shared" si="10"/>
        <v>2844288.7555084801</v>
      </c>
      <c r="W18" s="125">
        <f t="shared" si="11"/>
        <v>237024.06295904002</v>
      </c>
      <c r="X18" s="137">
        <f t="shared" si="12"/>
        <v>455.81550569046158</v>
      </c>
      <c r="Y18" s="153">
        <f>IF(X18&gt;0,IF(Калькуляция!$C$2='Статистическая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>401.59639756097562</v>
      </c>
      <c r="Z18" s="157">
        <f t="shared" si="14"/>
        <v>0.13500895042579086</v>
      </c>
      <c r="AD18" s="152">
        <f t="shared" si="15"/>
        <v>6242</v>
      </c>
    </row>
    <row r="19" spans="2:30" x14ac:dyDescent="0.25">
      <c r="B19" s="111"/>
      <c r="C19" s="123"/>
      <c r="D19" s="110"/>
      <c r="E19" s="110"/>
      <c r="F19" s="112"/>
      <c r="G19" s="112"/>
      <c r="H19" s="112"/>
      <c r="I19" s="130">
        <f t="shared" si="2"/>
        <v>0</v>
      </c>
      <c r="J19" s="135"/>
      <c r="K19" s="125">
        <f t="shared" si="3"/>
        <v>0</v>
      </c>
      <c r="L19" s="125">
        <f t="shared" si="4"/>
        <v>0</v>
      </c>
      <c r="M19" s="125">
        <f t="shared" si="5"/>
        <v>0</v>
      </c>
      <c r="N19" s="125">
        <f t="shared" si="6"/>
        <v>0</v>
      </c>
      <c r="O19" s="130">
        <f t="shared" si="7"/>
        <v>0</v>
      </c>
      <c r="P19" s="136">
        <f t="shared" si="13"/>
        <v>0</v>
      </c>
      <c r="Q19" s="134">
        <f t="shared" si="16"/>
        <v>0</v>
      </c>
      <c r="R19" s="134"/>
      <c r="S19" s="125">
        <f t="shared" si="8"/>
        <v>0</v>
      </c>
      <c r="T19" s="125">
        <f t="shared" si="9"/>
        <v>0</v>
      </c>
      <c r="U19" s="125">
        <f>IF(O19&gt;0,SUM('Расчет ФОТ'!O19:R19)*'Расчет ФОТ'!$U$5,0)</f>
        <v>0</v>
      </c>
      <c r="V19" s="129">
        <f t="shared" si="10"/>
        <v>0</v>
      </c>
      <c r="W19" s="125">
        <f t="shared" si="11"/>
        <v>0</v>
      </c>
      <c r="X19" s="137">
        <f t="shared" si="12"/>
        <v>0</v>
      </c>
      <c r="Y19" s="153" t="str">
        <f>IF(X19&gt;0,IF(Калькуляция!$C$2='Статистическая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9" s="157" t="str">
        <f t="shared" si="14"/>
        <v/>
      </c>
      <c r="AD19" s="152">
        <f t="shared" si="15"/>
        <v>0</v>
      </c>
    </row>
    <row r="20" spans="2:30" x14ac:dyDescent="0.25">
      <c r="B20" s="111" t="s">
        <v>323</v>
      </c>
      <c r="C20" s="123">
        <v>1</v>
      </c>
      <c r="D20" s="110" t="s">
        <v>325</v>
      </c>
      <c r="E20" s="110" t="s">
        <v>258</v>
      </c>
      <c r="F20" s="112">
        <v>10</v>
      </c>
      <c r="G20" s="112">
        <v>26</v>
      </c>
      <c r="H20" s="112">
        <v>5</v>
      </c>
      <c r="I20" s="130">
        <f t="shared" si="2"/>
        <v>1300</v>
      </c>
      <c r="J20" s="135">
        <v>90000</v>
      </c>
      <c r="K20" s="125">
        <f t="shared" si="3"/>
        <v>3461.5384615384614</v>
      </c>
      <c r="L20" s="125">
        <f t="shared" si="4"/>
        <v>346.15384615384613</v>
      </c>
      <c r="M20" s="125">
        <f t="shared" si="5"/>
        <v>90000</v>
      </c>
      <c r="N20" s="125">
        <f t="shared" si="6"/>
        <v>450000</v>
      </c>
      <c r="O20" s="130">
        <f t="shared" si="7"/>
        <v>517241.37931034481</v>
      </c>
      <c r="P20" s="136">
        <f t="shared" si="13"/>
        <v>20114.942528735632</v>
      </c>
      <c r="Q20" s="134">
        <f t="shared" si="16"/>
        <v>42792.881147594562</v>
      </c>
      <c r="R20" s="134"/>
      <c r="S20" s="125">
        <f t="shared" si="8"/>
        <v>4768.3496135891091</v>
      </c>
      <c r="T20" s="125">
        <f t="shared" si="9"/>
        <v>76039.281838034338</v>
      </c>
      <c r="U20" s="125">
        <f>IF(O20&gt;0,SUM('Расчет ФОТ'!O20:R20)*'Расчет ФОТ'!$U$5,0)</f>
        <v>176945.50691093586</v>
      </c>
      <c r="V20" s="129">
        <f t="shared" si="10"/>
        <v>761863.05951119994</v>
      </c>
      <c r="W20" s="125">
        <f t="shared" si="11"/>
        <v>152372.61190223999</v>
      </c>
      <c r="X20" s="137">
        <f t="shared" si="12"/>
        <v>586.04850731630768</v>
      </c>
      <c r="Y20" s="153">
        <f>IF(X20&gt;0,IF(Калькуляция!$C$2='Статистическая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>401.59639756097562</v>
      </c>
      <c r="Z20" s="157">
        <f t="shared" si="14"/>
        <v>0.45929722197601669</v>
      </c>
      <c r="AD20" s="152">
        <f t="shared" si="15"/>
        <v>1300.4166666666665</v>
      </c>
    </row>
    <row r="21" spans="2:30" x14ac:dyDescent="0.25">
      <c r="B21" s="111"/>
      <c r="C21" s="123"/>
      <c r="D21" s="110"/>
      <c r="E21" s="110"/>
      <c r="F21" s="112"/>
      <c r="G21" s="112"/>
      <c r="H21" s="112"/>
      <c r="I21" s="130">
        <f t="shared" si="2"/>
        <v>0</v>
      </c>
      <c r="J21" s="138"/>
      <c r="K21" s="125">
        <f t="shared" si="3"/>
        <v>0</v>
      </c>
      <c r="L21" s="125">
        <f t="shared" si="4"/>
        <v>0</v>
      </c>
      <c r="M21" s="125">
        <f t="shared" si="5"/>
        <v>0</v>
      </c>
      <c r="N21" s="125">
        <f t="shared" si="6"/>
        <v>0</v>
      </c>
      <c r="O21" s="130">
        <f t="shared" si="7"/>
        <v>0</v>
      </c>
      <c r="P21" s="136">
        <f t="shared" si="13"/>
        <v>0</v>
      </c>
      <c r="Q21" s="134">
        <f t="shared" si="16"/>
        <v>0</v>
      </c>
      <c r="R21" s="134"/>
      <c r="S21" s="125">
        <f t="shared" si="8"/>
        <v>0</v>
      </c>
      <c r="T21" s="125">
        <f t="shared" si="9"/>
        <v>0</v>
      </c>
      <c r="U21" s="125">
        <f>IF(O21&gt;0,SUM('Расчет ФОТ'!O21:R21)*'Расчет ФОТ'!$U$5,0)</f>
        <v>0</v>
      </c>
      <c r="V21" s="129">
        <f t="shared" si="10"/>
        <v>0</v>
      </c>
      <c r="W21" s="125">
        <f t="shared" si="11"/>
        <v>0</v>
      </c>
      <c r="X21" s="137">
        <f t="shared" si="12"/>
        <v>0</v>
      </c>
      <c r="Y21" s="153" t="str">
        <f>IF(X21&gt;0,IF(Калькуляция!$C$2='Статистическая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1" s="157" t="str">
        <f t="shared" ref="Z21:Z35" si="17">IF(X21&gt;0,(X21-Y21)/Y21,"")</f>
        <v/>
      </c>
      <c r="AD21" s="152">
        <f t="shared" si="15"/>
        <v>0</v>
      </c>
    </row>
    <row r="22" spans="2:30" x14ac:dyDescent="0.25">
      <c r="B22" s="111"/>
      <c r="C22" s="123"/>
      <c r="D22" s="110"/>
      <c r="E22" s="110"/>
      <c r="F22" s="112"/>
      <c r="G22" s="112"/>
      <c r="H22" s="112"/>
      <c r="I22" s="130">
        <f t="shared" si="2"/>
        <v>0</v>
      </c>
      <c r="J22" s="138"/>
      <c r="K22" s="125">
        <f t="shared" si="3"/>
        <v>0</v>
      </c>
      <c r="L22" s="125">
        <f t="shared" si="4"/>
        <v>0</v>
      </c>
      <c r="M22" s="125">
        <f t="shared" si="5"/>
        <v>0</v>
      </c>
      <c r="N22" s="125">
        <f t="shared" si="6"/>
        <v>0</v>
      </c>
      <c r="O22" s="130">
        <f t="shared" si="7"/>
        <v>0</v>
      </c>
      <c r="P22" s="136">
        <f t="shared" si="13"/>
        <v>0</v>
      </c>
      <c r="Q22" s="134">
        <f t="shared" si="16"/>
        <v>0</v>
      </c>
      <c r="R22" s="134"/>
      <c r="S22" s="125">
        <f t="shared" si="8"/>
        <v>0</v>
      </c>
      <c r="T22" s="125">
        <f t="shared" si="9"/>
        <v>0</v>
      </c>
      <c r="U22" s="125">
        <f>IF(O22&gt;0,SUM('Расчет ФОТ'!O22:R22)*'Расчет ФОТ'!$U$5,0)</f>
        <v>0</v>
      </c>
      <c r="V22" s="129">
        <f t="shared" si="10"/>
        <v>0</v>
      </c>
      <c r="W22" s="125">
        <f t="shared" si="11"/>
        <v>0</v>
      </c>
      <c r="X22" s="137">
        <f t="shared" si="12"/>
        <v>0</v>
      </c>
      <c r="Y22" s="153" t="str">
        <f>IF(X22&gt;0,IF(Калькуляция!$C$2='Статистическая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2" s="157" t="str">
        <f t="shared" si="17"/>
        <v/>
      </c>
      <c r="AD22" s="152">
        <f t="shared" si="15"/>
        <v>0</v>
      </c>
    </row>
    <row r="23" spans="2:30" x14ac:dyDescent="0.25">
      <c r="B23" s="111"/>
      <c r="C23" s="123"/>
      <c r="D23" s="110"/>
      <c r="E23" s="110"/>
      <c r="F23" s="112"/>
      <c r="G23" s="112"/>
      <c r="H23" s="112"/>
      <c r="I23" s="130">
        <f t="shared" si="2"/>
        <v>0</v>
      </c>
      <c r="J23" s="138"/>
      <c r="K23" s="125">
        <f t="shared" si="3"/>
        <v>0</v>
      </c>
      <c r="L23" s="125">
        <f t="shared" si="4"/>
        <v>0</v>
      </c>
      <c r="M23" s="125">
        <f t="shared" si="5"/>
        <v>0</v>
      </c>
      <c r="N23" s="125">
        <f t="shared" si="6"/>
        <v>0</v>
      </c>
      <c r="O23" s="130">
        <f t="shared" si="7"/>
        <v>0</v>
      </c>
      <c r="P23" s="136">
        <f t="shared" si="13"/>
        <v>0</v>
      </c>
      <c r="Q23" s="134">
        <f t="shared" si="16"/>
        <v>0</v>
      </c>
      <c r="R23" s="134"/>
      <c r="S23" s="125">
        <f t="shared" si="8"/>
        <v>0</v>
      </c>
      <c r="T23" s="125">
        <f t="shared" si="9"/>
        <v>0</v>
      </c>
      <c r="U23" s="125">
        <f>IF(O23&gt;0,SUM('Расчет ФОТ'!O23:R23)*'Расчет ФОТ'!$U$5,0)</f>
        <v>0</v>
      </c>
      <c r="V23" s="129">
        <f t="shared" si="10"/>
        <v>0</v>
      </c>
      <c r="W23" s="125">
        <f t="shared" si="11"/>
        <v>0</v>
      </c>
      <c r="X23" s="137">
        <f t="shared" si="12"/>
        <v>0</v>
      </c>
      <c r="Y23" s="153" t="str">
        <f>IF(X23&gt;0,IF(Калькуляция!$C$2='Статистическая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3" s="157" t="str">
        <f t="shared" si="17"/>
        <v/>
      </c>
      <c r="AD23" s="152">
        <f t="shared" si="15"/>
        <v>0</v>
      </c>
    </row>
    <row r="24" spans="2:30" x14ac:dyDescent="0.25">
      <c r="B24" s="111"/>
      <c r="C24" s="123"/>
      <c r="D24" s="110"/>
      <c r="E24" s="110"/>
      <c r="F24" s="112"/>
      <c r="G24" s="112"/>
      <c r="H24" s="112"/>
      <c r="I24" s="130">
        <f t="shared" si="2"/>
        <v>0</v>
      </c>
      <c r="J24" s="138"/>
      <c r="K24" s="125">
        <f t="shared" si="3"/>
        <v>0</v>
      </c>
      <c r="L24" s="125">
        <f t="shared" si="4"/>
        <v>0</v>
      </c>
      <c r="M24" s="125">
        <f t="shared" si="5"/>
        <v>0</v>
      </c>
      <c r="N24" s="125">
        <f t="shared" si="6"/>
        <v>0</v>
      </c>
      <c r="O24" s="130">
        <f t="shared" si="7"/>
        <v>0</v>
      </c>
      <c r="P24" s="136">
        <f t="shared" si="13"/>
        <v>0</v>
      </c>
      <c r="Q24" s="134">
        <f t="shared" si="16"/>
        <v>0</v>
      </c>
      <c r="R24" s="134"/>
      <c r="S24" s="125">
        <f t="shared" si="8"/>
        <v>0</v>
      </c>
      <c r="T24" s="125">
        <f t="shared" si="9"/>
        <v>0</v>
      </c>
      <c r="U24" s="125">
        <f>IF(O24&gt;0,SUM('Расчет ФОТ'!O24:R24)*'Расчет ФОТ'!$U$5,0)</f>
        <v>0</v>
      </c>
      <c r="V24" s="129">
        <f t="shared" si="10"/>
        <v>0</v>
      </c>
      <c r="W24" s="125">
        <f t="shared" si="11"/>
        <v>0</v>
      </c>
      <c r="X24" s="137">
        <f t="shared" si="12"/>
        <v>0</v>
      </c>
      <c r="Y24" s="153" t="str">
        <f>IF(X24&gt;0,IF(Калькуляция!$C$2='Статистическая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4" s="157" t="str">
        <f t="shared" si="17"/>
        <v/>
      </c>
      <c r="AD24" s="152">
        <f t="shared" si="15"/>
        <v>0</v>
      </c>
    </row>
    <row r="25" spans="2:30" x14ac:dyDescent="0.25">
      <c r="B25" s="111"/>
      <c r="C25" s="123"/>
      <c r="D25" s="110"/>
      <c r="E25" s="110"/>
      <c r="F25" s="112"/>
      <c r="G25" s="112"/>
      <c r="H25" s="112"/>
      <c r="I25" s="130">
        <f t="shared" si="2"/>
        <v>0</v>
      </c>
      <c r="J25" s="138"/>
      <c r="K25" s="125">
        <f t="shared" si="3"/>
        <v>0</v>
      </c>
      <c r="L25" s="125">
        <f t="shared" si="4"/>
        <v>0</v>
      </c>
      <c r="M25" s="125">
        <f t="shared" si="5"/>
        <v>0</v>
      </c>
      <c r="N25" s="125">
        <f t="shared" si="6"/>
        <v>0</v>
      </c>
      <c r="O25" s="130">
        <f t="shared" si="7"/>
        <v>0</v>
      </c>
      <c r="P25" s="136">
        <f t="shared" si="13"/>
        <v>0</v>
      </c>
      <c r="Q25" s="134">
        <f t="shared" si="16"/>
        <v>0</v>
      </c>
      <c r="R25" s="134"/>
      <c r="S25" s="125">
        <f t="shared" si="8"/>
        <v>0</v>
      </c>
      <c r="T25" s="125">
        <f t="shared" si="9"/>
        <v>0</v>
      </c>
      <c r="U25" s="125">
        <f>IF(O25&gt;0,SUM('Расчет ФОТ'!O25:R25)*'Расчет ФОТ'!$U$5,0)</f>
        <v>0</v>
      </c>
      <c r="V25" s="129">
        <f t="shared" si="10"/>
        <v>0</v>
      </c>
      <c r="W25" s="125">
        <f t="shared" si="11"/>
        <v>0</v>
      </c>
      <c r="X25" s="137">
        <f t="shared" si="12"/>
        <v>0</v>
      </c>
      <c r="Y25" s="153" t="str">
        <f>IF(X25&gt;0,IF(Калькуляция!$C$2='Статистическая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5" s="157" t="str">
        <f t="shared" si="17"/>
        <v/>
      </c>
      <c r="AD25" s="152">
        <f t="shared" si="15"/>
        <v>0</v>
      </c>
    </row>
    <row r="26" spans="2:30" x14ac:dyDescent="0.25">
      <c r="B26" s="111"/>
      <c r="C26" s="123"/>
      <c r="D26" s="110"/>
      <c r="E26" s="110"/>
      <c r="F26" s="112"/>
      <c r="G26" s="112"/>
      <c r="H26" s="112"/>
      <c r="I26" s="130">
        <f t="shared" si="2"/>
        <v>0</v>
      </c>
      <c r="J26" s="138"/>
      <c r="K26" s="125">
        <f t="shared" si="3"/>
        <v>0</v>
      </c>
      <c r="L26" s="125">
        <f t="shared" si="4"/>
        <v>0</v>
      </c>
      <c r="M26" s="125">
        <f t="shared" si="5"/>
        <v>0</v>
      </c>
      <c r="N26" s="125">
        <f t="shared" si="6"/>
        <v>0</v>
      </c>
      <c r="O26" s="130">
        <f t="shared" si="7"/>
        <v>0</v>
      </c>
      <c r="P26" s="136">
        <f t="shared" si="13"/>
        <v>0</v>
      </c>
      <c r="Q26" s="134">
        <f t="shared" si="16"/>
        <v>0</v>
      </c>
      <c r="R26" s="134"/>
      <c r="S26" s="125">
        <f t="shared" si="8"/>
        <v>0</v>
      </c>
      <c r="T26" s="125">
        <f t="shared" si="9"/>
        <v>0</v>
      </c>
      <c r="U26" s="125">
        <f>IF(O26&gt;0,SUM('Расчет ФОТ'!O26:R26)*'Расчет ФОТ'!$U$5,0)</f>
        <v>0</v>
      </c>
      <c r="V26" s="129">
        <f t="shared" si="10"/>
        <v>0</v>
      </c>
      <c r="W26" s="125">
        <f t="shared" si="11"/>
        <v>0</v>
      </c>
      <c r="X26" s="137">
        <f t="shared" si="12"/>
        <v>0</v>
      </c>
      <c r="Y26" s="153" t="str">
        <f>IF(X26&gt;0,IF(Калькуляция!$C$2='Статистическая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6" s="157" t="str">
        <f t="shared" si="17"/>
        <v/>
      </c>
      <c r="AD26" s="152">
        <f t="shared" si="15"/>
        <v>0</v>
      </c>
    </row>
    <row r="27" spans="2:30" x14ac:dyDescent="0.25">
      <c r="B27" s="111"/>
      <c r="C27" s="123"/>
      <c r="D27" s="110"/>
      <c r="E27" s="110"/>
      <c r="F27" s="112"/>
      <c r="G27" s="112"/>
      <c r="H27" s="112"/>
      <c r="I27" s="130">
        <f t="shared" si="2"/>
        <v>0</v>
      </c>
      <c r="J27" s="138"/>
      <c r="K27" s="125">
        <f t="shared" si="3"/>
        <v>0</v>
      </c>
      <c r="L27" s="125">
        <f t="shared" si="4"/>
        <v>0</v>
      </c>
      <c r="M27" s="125">
        <f t="shared" si="5"/>
        <v>0</v>
      </c>
      <c r="N27" s="125">
        <f t="shared" si="6"/>
        <v>0</v>
      </c>
      <c r="O27" s="130">
        <f t="shared" si="7"/>
        <v>0</v>
      </c>
      <c r="P27" s="136">
        <f t="shared" si="13"/>
        <v>0</v>
      </c>
      <c r="Q27" s="134">
        <f t="shared" si="16"/>
        <v>0</v>
      </c>
      <c r="R27" s="134"/>
      <c r="S27" s="125">
        <f t="shared" si="8"/>
        <v>0</v>
      </c>
      <c r="T27" s="125">
        <f t="shared" si="9"/>
        <v>0</v>
      </c>
      <c r="U27" s="125">
        <f>IF(O27&gt;0,SUM('Расчет ФОТ'!O27:R27)*'Расчет ФОТ'!$U$5,0)</f>
        <v>0</v>
      </c>
      <c r="V27" s="129">
        <f t="shared" si="10"/>
        <v>0</v>
      </c>
      <c r="W27" s="125">
        <f t="shared" si="11"/>
        <v>0</v>
      </c>
      <c r="X27" s="137">
        <f t="shared" si="12"/>
        <v>0</v>
      </c>
      <c r="Y27" s="153" t="str">
        <f>IF(X27&gt;0,IF(Калькуляция!$C$2='Статистическая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7" s="157" t="str">
        <f t="shared" si="17"/>
        <v/>
      </c>
      <c r="AD27" s="152">
        <f t="shared" si="15"/>
        <v>0</v>
      </c>
    </row>
    <row r="28" spans="2:30" x14ac:dyDescent="0.25">
      <c r="B28" s="111"/>
      <c r="C28" s="123"/>
      <c r="D28" s="110"/>
      <c r="E28" s="110"/>
      <c r="F28" s="112"/>
      <c r="G28" s="112"/>
      <c r="H28" s="112"/>
      <c r="I28" s="130">
        <f t="shared" si="2"/>
        <v>0</v>
      </c>
      <c r="J28" s="138"/>
      <c r="K28" s="125">
        <f t="shared" si="3"/>
        <v>0</v>
      </c>
      <c r="L28" s="125">
        <f t="shared" si="4"/>
        <v>0</v>
      </c>
      <c r="M28" s="125">
        <f t="shared" si="5"/>
        <v>0</v>
      </c>
      <c r="N28" s="125">
        <f t="shared" si="6"/>
        <v>0</v>
      </c>
      <c r="O28" s="130">
        <f t="shared" si="7"/>
        <v>0</v>
      </c>
      <c r="P28" s="136">
        <f t="shared" si="13"/>
        <v>0</v>
      </c>
      <c r="Q28" s="134">
        <f t="shared" si="16"/>
        <v>0</v>
      </c>
      <c r="R28" s="134"/>
      <c r="S28" s="125">
        <f t="shared" si="8"/>
        <v>0</v>
      </c>
      <c r="T28" s="125">
        <f t="shared" si="9"/>
        <v>0</v>
      </c>
      <c r="U28" s="125">
        <f>IF(O28&gt;0,SUM('Расчет ФОТ'!O28:R28)*'Расчет ФОТ'!$U$5,0)</f>
        <v>0</v>
      </c>
      <c r="V28" s="129">
        <f t="shared" si="10"/>
        <v>0</v>
      </c>
      <c r="W28" s="125">
        <f t="shared" si="11"/>
        <v>0</v>
      </c>
      <c r="X28" s="137">
        <f t="shared" si="12"/>
        <v>0</v>
      </c>
      <c r="Y28" s="153" t="str">
        <f>IF(X28&gt;0,IF(Калькуляция!$C$2='Статистическая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8" s="157" t="str">
        <f t="shared" si="17"/>
        <v/>
      </c>
      <c r="AD28" s="152">
        <f t="shared" si="15"/>
        <v>0</v>
      </c>
    </row>
    <row r="29" spans="2:30" x14ac:dyDescent="0.25">
      <c r="B29" s="111"/>
      <c r="C29" s="123"/>
      <c r="D29" s="110"/>
      <c r="E29" s="110"/>
      <c r="F29" s="112"/>
      <c r="G29" s="112"/>
      <c r="H29" s="112"/>
      <c r="I29" s="130">
        <f t="shared" si="2"/>
        <v>0</v>
      </c>
      <c r="J29" s="138"/>
      <c r="K29" s="125">
        <f t="shared" si="3"/>
        <v>0</v>
      </c>
      <c r="L29" s="125">
        <f t="shared" si="4"/>
        <v>0</v>
      </c>
      <c r="M29" s="125">
        <f t="shared" si="5"/>
        <v>0</v>
      </c>
      <c r="N29" s="125">
        <f t="shared" si="6"/>
        <v>0</v>
      </c>
      <c r="O29" s="130">
        <f t="shared" si="7"/>
        <v>0</v>
      </c>
      <c r="P29" s="136">
        <f t="shared" si="13"/>
        <v>0</v>
      </c>
      <c r="Q29" s="134">
        <f t="shared" si="16"/>
        <v>0</v>
      </c>
      <c r="R29" s="134"/>
      <c r="S29" s="125">
        <f t="shared" si="8"/>
        <v>0</v>
      </c>
      <c r="T29" s="125">
        <f t="shared" si="9"/>
        <v>0</v>
      </c>
      <c r="U29" s="125">
        <f>IF(O29&gt;0,SUM('Расчет ФОТ'!O29:R29)*'Расчет ФОТ'!$U$5,0)</f>
        <v>0</v>
      </c>
      <c r="V29" s="129">
        <f t="shared" si="10"/>
        <v>0</v>
      </c>
      <c r="W29" s="125">
        <f t="shared" si="11"/>
        <v>0</v>
      </c>
      <c r="X29" s="137">
        <f t="shared" si="12"/>
        <v>0</v>
      </c>
      <c r="Y29" s="153" t="str">
        <f>IF(X29&gt;0,IF(Калькуляция!$C$2='Статистическая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9" s="157" t="str">
        <f t="shared" si="17"/>
        <v/>
      </c>
      <c r="AD29" s="152">
        <f t="shared" si="15"/>
        <v>0</v>
      </c>
    </row>
    <row r="30" spans="2:30" x14ac:dyDescent="0.25">
      <c r="B30" s="111"/>
      <c r="C30" s="123"/>
      <c r="D30" s="110"/>
      <c r="E30" s="110"/>
      <c r="F30" s="112"/>
      <c r="G30" s="112"/>
      <c r="H30" s="112"/>
      <c r="I30" s="130">
        <f t="shared" si="2"/>
        <v>0</v>
      </c>
      <c r="J30" s="138"/>
      <c r="K30" s="125">
        <f t="shared" si="3"/>
        <v>0</v>
      </c>
      <c r="L30" s="125">
        <f t="shared" si="4"/>
        <v>0</v>
      </c>
      <c r="M30" s="125">
        <f t="shared" si="5"/>
        <v>0</v>
      </c>
      <c r="N30" s="125">
        <f t="shared" si="6"/>
        <v>0</v>
      </c>
      <c r="O30" s="130">
        <f t="shared" si="7"/>
        <v>0</v>
      </c>
      <c r="P30" s="136">
        <f t="shared" si="13"/>
        <v>0</v>
      </c>
      <c r="Q30" s="134">
        <f t="shared" si="16"/>
        <v>0</v>
      </c>
      <c r="R30" s="134"/>
      <c r="S30" s="125">
        <f t="shared" si="8"/>
        <v>0</v>
      </c>
      <c r="T30" s="125">
        <f t="shared" si="9"/>
        <v>0</v>
      </c>
      <c r="U30" s="125">
        <f>IF(O30&gt;0,SUM('Расчет ФОТ'!O30:R30)*'Расчет ФОТ'!$U$5,0)</f>
        <v>0</v>
      </c>
      <c r="V30" s="129">
        <f t="shared" si="10"/>
        <v>0</v>
      </c>
      <c r="W30" s="125">
        <f t="shared" si="11"/>
        <v>0</v>
      </c>
      <c r="X30" s="137">
        <f t="shared" si="12"/>
        <v>0</v>
      </c>
      <c r="Y30" s="153" t="str">
        <f>IF(X30&gt;0,IF(Калькуляция!$C$2='Статистическая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30" s="157" t="str">
        <f t="shared" si="17"/>
        <v/>
      </c>
      <c r="AD30" s="152">
        <f t="shared" si="15"/>
        <v>0</v>
      </c>
    </row>
    <row r="31" spans="2:30" x14ac:dyDescent="0.25">
      <c r="B31" s="111"/>
      <c r="C31" s="123"/>
      <c r="D31" s="110"/>
      <c r="E31" s="110"/>
      <c r="F31" s="112"/>
      <c r="G31" s="112"/>
      <c r="H31" s="112"/>
      <c r="I31" s="130">
        <f t="shared" si="2"/>
        <v>0</v>
      </c>
      <c r="J31" s="138"/>
      <c r="K31" s="125">
        <f t="shared" si="3"/>
        <v>0</v>
      </c>
      <c r="L31" s="125">
        <f t="shared" si="4"/>
        <v>0</v>
      </c>
      <c r="M31" s="125">
        <f t="shared" si="5"/>
        <v>0</v>
      </c>
      <c r="N31" s="125">
        <f t="shared" si="6"/>
        <v>0</v>
      </c>
      <c r="O31" s="130">
        <f t="shared" si="7"/>
        <v>0</v>
      </c>
      <c r="P31" s="136">
        <f t="shared" si="13"/>
        <v>0</v>
      </c>
      <c r="Q31" s="134">
        <f t="shared" si="16"/>
        <v>0</v>
      </c>
      <c r="R31" s="134"/>
      <c r="S31" s="125">
        <f t="shared" si="8"/>
        <v>0</v>
      </c>
      <c r="T31" s="125">
        <f t="shared" si="9"/>
        <v>0</v>
      </c>
      <c r="U31" s="125">
        <f>IF(O31&gt;0,SUM('Расчет ФОТ'!O31:R31)*'Расчет ФОТ'!$U$5,0)</f>
        <v>0</v>
      </c>
      <c r="V31" s="129">
        <f t="shared" si="10"/>
        <v>0</v>
      </c>
      <c r="W31" s="125">
        <f t="shared" si="11"/>
        <v>0</v>
      </c>
      <c r="X31" s="137">
        <f t="shared" si="12"/>
        <v>0</v>
      </c>
      <c r="Y31" s="153" t="str">
        <f>IF(X31&gt;0,IF(Калькуляция!$C$2='Статистическая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31" s="157" t="str">
        <f t="shared" si="17"/>
        <v/>
      </c>
      <c r="AD31" s="152">
        <f t="shared" si="15"/>
        <v>0</v>
      </c>
    </row>
    <row r="32" spans="2:30" x14ac:dyDescent="0.25">
      <c r="B32" s="111"/>
      <c r="C32" s="123"/>
      <c r="D32" s="110"/>
      <c r="E32" s="110"/>
      <c r="F32" s="112"/>
      <c r="G32" s="112"/>
      <c r="H32" s="112"/>
      <c r="I32" s="130">
        <f t="shared" si="2"/>
        <v>0</v>
      </c>
      <c r="J32" s="138"/>
      <c r="K32" s="125">
        <f t="shared" si="3"/>
        <v>0</v>
      </c>
      <c r="L32" s="125">
        <f t="shared" si="4"/>
        <v>0</v>
      </c>
      <c r="M32" s="125">
        <f t="shared" si="5"/>
        <v>0</v>
      </c>
      <c r="N32" s="125">
        <f t="shared" si="6"/>
        <v>0</v>
      </c>
      <c r="O32" s="130">
        <f t="shared" si="7"/>
        <v>0</v>
      </c>
      <c r="P32" s="136">
        <f t="shared" si="13"/>
        <v>0</v>
      </c>
      <c r="Q32" s="134">
        <f t="shared" si="16"/>
        <v>0</v>
      </c>
      <c r="R32" s="134"/>
      <c r="S32" s="125">
        <f t="shared" si="8"/>
        <v>0</v>
      </c>
      <c r="T32" s="125">
        <f t="shared" si="9"/>
        <v>0</v>
      </c>
      <c r="U32" s="125">
        <f>IF(O32&gt;0,SUM('Расчет ФОТ'!O32:R32)*'Расчет ФОТ'!$U$5,0)</f>
        <v>0</v>
      </c>
      <c r="V32" s="129">
        <f t="shared" si="10"/>
        <v>0</v>
      </c>
      <c r="W32" s="125">
        <f t="shared" si="11"/>
        <v>0</v>
      </c>
      <c r="X32" s="137">
        <f t="shared" si="12"/>
        <v>0</v>
      </c>
      <c r="Y32" s="153" t="str">
        <f>IF(X32&gt;0,IF(Калькуляция!$C$2='Статистическая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32" s="157" t="str">
        <f t="shared" si="17"/>
        <v/>
      </c>
      <c r="AD32" s="152">
        <f t="shared" si="15"/>
        <v>0</v>
      </c>
    </row>
    <row r="33" spans="2:30" x14ac:dyDescent="0.25">
      <c r="B33" s="111"/>
      <c r="C33" s="123"/>
      <c r="D33" s="110"/>
      <c r="E33" s="110"/>
      <c r="F33" s="112"/>
      <c r="G33" s="112"/>
      <c r="H33" s="112"/>
      <c r="I33" s="130">
        <f t="shared" si="2"/>
        <v>0</v>
      </c>
      <c r="J33" s="138"/>
      <c r="K33" s="125">
        <f t="shared" si="3"/>
        <v>0</v>
      </c>
      <c r="L33" s="125">
        <f t="shared" si="4"/>
        <v>0</v>
      </c>
      <c r="M33" s="125">
        <f t="shared" si="5"/>
        <v>0</v>
      </c>
      <c r="N33" s="125">
        <f t="shared" si="6"/>
        <v>0</v>
      </c>
      <c r="O33" s="130">
        <f t="shared" si="7"/>
        <v>0</v>
      </c>
      <c r="P33" s="136">
        <f t="shared" si="13"/>
        <v>0</v>
      </c>
      <c r="Q33" s="134">
        <f t="shared" si="16"/>
        <v>0</v>
      </c>
      <c r="R33" s="134"/>
      <c r="S33" s="125">
        <f t="shared" si="8"/>
        <v>0</v>
      </c>
      <c r="T33" s="125">
        <f t="shared" si="9"/>
        <v>0</v>
      </c>
      <c r="U33" s="125">
        <f>IF(O33&gt;0,SUM('Расчет ФОТ'!O33:R33)*'Расчет ФОТ'!$U$5,0)</f>
        <v>0</v>
      </c>
      <c r="V33" s="129">
        <f t="shared" si="10"/>
        <v>0</v>
      </c>
      <c r="W33" s="125">
        <f t="shared" si="11"/>
        <v>0</v>
      </c>
      <c r="X33" s="137">
        <f t="shared" si="12"/>
        <v>0</v>
      </c>
      <c r="Y33" s="153" t="str">
        <f>IF(X33&gt;0,IF(Калькуляция!$C$2='Статистическая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33" s="157" t="str">
        <f t="shared" si="17"/>
        <v/>
      </c>
      <c r="AD33" s="152">
        <f t="shared" si="15"/>
        <v>0</v>
      </c>
    </row>
    <row r="34" spans="2:30" x14ac:dyDescent="0.25">
      <c r="B34" s="111"/>
      <c r="C34" s="123"/>
      <c r="D34" s="110"/>
      <c r="E34" s="110"/>
      <c r="F34" s="112"/>
      <c r="G34" s="112"/>
      <c r="H34" s="112"/>
      <c r="I34" s="130">
        <f t="shared" si="2"/>
        <v>0</v>
      </c>
      <c r="J34" s="138"/>
      <c r="K34" s="125">
        <f t="shared" si="3"/>
        <v>0</v>
      </c>
      <c r="L34" s="125">
        <f t="shared" si="4"/>
        <v>0</v>
      </c>
      <c r="M34" s="125">
        <f t="shared" si="5"/>
        <v>0</v>
      </c>
      <c r="N34" s="125">
        <f t="shared" si="6"/>
        <v>0</v>
      </c>
      <c r="O34" s="130">
        <f t="shared" si="7"/>
        <v>0</v>
      </c>
      <c r="P34" s="136">
        <f t="shared" si="13"/>
        <v>0</v>
      </c>
      <c r="Q34" s="134">
        <f t="shared" si="16"/>
        <v>0</v>
      </c>
      <c r="R34" s="134"/>
      <c r="S34" s="125">
        <f t="shared" si="8"/>
        <v>0</v>
      </c>
      <c r="T34" s="125">
        <f t="shared" si="9"/>
        <v>0</v>
      </c>
      <c r="U34" s="125">
        <f>IF(O34&gt;0,SUM('Расчет ФОТ'!O34:R34)*'Расчет ФОТ'!$U$5,0)</f>
        <v>0</v>
      </c>
      <c r="V34" s="129">
        <f t="shared" si="10"/>
        <v>0</v>
      </c>
      <c r="W34" s="125">
        <f t="shared" si="11"/>
        <v>0</v>
      </c>
      <c r="X34" s="137">
        <f t="shared" si="12"/>
        <v>0</v>
      </c>
      <c r="Y34" s="153" t="str">
        <f>IF(X34&gt;0,IF(Калькуляция!$C$2='Статистическая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34" s="157" t="str">
        <f t="shared" si="17"/>
        <v/>
      </c>
      <c r="AD34" s="152">
        <f t="shared" si="15"/>
        <v>0</v>
      </c>
    </row>
    <row r="35" spans="2:30" x14ac:dyDescent="0.25">
      <c r="B35" s="111"/>
      <c r="C35" s="123"/>
      <c r="D35" s="110"/>
      <c r="E35" s="110"/>
      <c r="F35" s="112"/>
      <c r="G35" s="112"/>
      <c r="H35" s="112"/>
      <c r="I35" s="130">
        <f t="shared" si="2"/>
        <v>0</v>
      </c>
      <c r="J35" s="138"/>
      <c r="K35" s="125">
        <f t="shared" si="3"/>
        <v>0</v>
      </c>
      <c r="L35" s="125">
        <f t="shared" si="4"/>
        <v>0</v>
      </c>
      <c r="M35" s="125">
        <f t="shared" si="5"/>
        <v>0</v>
      </c>
      <c r="N35" s="125">
        <f t="shared" si="6"/>
        <v>0</v>
      </c>
      <c r="O35" s="130">
        <f t="shared" si="7"/>
        <v>0</v>
      </c>
      <c r="P35" s="136">
        <f t="shared" si="13"/>
        <v>0</v>
      </c>
      <c r="Q35" s="134">
        <f t="shared" si="16"/>
        <v>0</v>
      </c>
      <c r="R35" s="134"/>
      <c r="S35" s="125">
        <f t="shared" si="8"/>
        <v>0</v>
      </c>
      <c r="T35" s="125">
        <f t="shared" si="9"/>
        <v>0</v>
      </c>
      <c r="U35" s="125">
        <f>IF(O35&gt;0,SUM('Расчет ФОТ'!O35:R35)*'Расчет ФОТ'!$U$5,0)</f>
        <v>0</v>
      </c>
      <c r="V35" s="129">
        <f t="shared" si="10"/>
        <v>0</v>
      </c>
      <c r="W35" s="125">
        <f t="shared" si="11"/>
        <v>0</v>
      </c>
      <c r="X35" s="137">
        <f t="shared" si="12"/>
        <v>0</v>
      </c>
      <c r="Y35" s="153" t="str">
        <f>IF(X35&gt;0,IF(Калькуляция!$C$2='Статистическая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35" s="157" t="str">
        <f t="shared" si="17"/>
        <v/>
      </c>
      <c r="AD35" s="152">
        <f t="shared" si="15"/>
        <v>0</v>
      </c>
    </row>
    <row r="36" spans="2:30" x14ac:dyDescent="0.25">
      <c r="B36" s="111"/>
      <c r="C36" s="123"/>
      <c r="D36" s="110"/>
      <c r="E36" s="110"/>
      <c r="F36" s="112"/>
      <c r="G36" s="112"/>
      <c r="H36" s="112"/>
      <c r="I36" s="130">
        <f t="shared" si="2"/>
        <v>0</v>
      </c>
      <c r="J36" s="138"/>
      <c r="K36" s="125">
        <f t="shared" si="3"/>
        <v>0</v>
      </c>
      <c r="L36" s="125">
        <f t="shared" si="4"/>
        <v>0</v>
      </c>
      <c r="M36" s="125">
        <f t="shared" si="5"/>
        <v>0</v>
      </c>
      <c r="N36" s="125">
        <f t="shared" si="6"/>
        <v>0</v>
      </c>
      <c r="O36" s="130">
        <f t="shared" si="7"/>
        <v>0</v>
      </c>
      <c r="P36" s="136">
        <f t="shared" si="13"/>
        <v>0</v>
      </c>
      <c r="Q36" s="134">
        <f t="shared" si="16"/>
        <v>0</v>
      </c>
      <c r="R36" s="134"/>
      <c r="S36" s="125">
        <f t="shared" si="8"/>
        <v>0</v>
      </c>
      <c r="T36" s="125">
        <f t="shared" si="9"/>
        <v>0</v>
      </c>
      <c r="U36" s="125">
        <f>IF(O36&gt;0,SUM('Расчет ФОТ'!O36:R36)*'Расчет ФОТ'!$U$5,0)</f>
        <v>0</v>
      </c>
      <c r="V36" s="129">
        <f t="shared" si="10"/>
        <v>0</v>
      </c>
      <c r="W36" s="125">
        <f t="shared" si="11"/>
        <v>0</v>
      </c>
      <c r="X36" s="137">
        <f t="shared" si="12"/>
        <v>0</v>
      </c>
      <c r="Y36" s="153" t="str">
        <f>IF(X36&gt;0,IF(Калькуляция!$C$2='Статистическая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36" s="157" t="str">
        <f t="shared" si="14"/>
        <v/>
      </c>
      <c r="AD36" s="152">
        <f t="shared" si="15"/>
        <v>0</v>
      </c>
    </row>
    <row r="37" spans="2:30" x14ac:dyDescent="0.25">
      <c r="B37" s="111"/>
      <c r="C37" s="123"/>
      <c r="D37" s="110"/>
      <c r="E37" s="110"/>
      <c r="F37" s="112"/>
      <c r="G37" s="112"/>
      <c r="H37" s="112"/>
      <c r="I37" s="130">
        <f t="shared" si="2"/>
        <v>0</v>
      </c>
      <c r="J37" s="135"/>
      <c r="K37" s="125">
        <f t="shared" si="3"/>
        <v>0</v>
      </c>
      <c r="L37" s="125">
        <f t="shared" si="4"/>
        <v>0</v>
      </c>
      <c r="M37" s="125">
        <f t="shared" si="5"/>
        <v>0</v>
      </c>
      <c r="N37" s="125">
        <f t="shared" si="6"/>
        <v>0</v>
      </c>
      <c r="O37" s="130">
        <f t="shared" si="7"/>
        <v>0</v>
      </c>
      <c r="P37" s="136">
        <f t="shared" si="13"/>
        <v>0</v>
      </c>
      <c r="Q37" s="134">
        <f t="shared" si="16"/>
        <v>0</v>
      </c>
      <c r="R37" s="134"/>
      <c r="S37" s="125">
        <f t="shared" si="8"/>
        <v>0</v>
      </c>
      <c r="T37" s="125">
        <f t="shared" si="9"/>
        <v>0</v>
      </c>
      <c r="U37" s="125">
        <f>IF(O37&gt;0,SUM('Расчет ФОТ'!O37:R37)*'Расчет ФОТ'!$U$5,0)</f>
        <v>0</v>
      </c>
      <c r="V37" s="129">
        <f t="shared" si="10"/>
        <v>0</v>
      </c>
      <c r="W37" s="125">
        <f t="shared" si="11"/>
        <v>0</v>
      </c>
      <c r="X37" s="137">
        <f t="shared" si="12"/>
        <v>0</v>
      </c>
      <c r="Y37" s="153" t="str">
        <f>IF(X37&gt;0,IF(Калькуляция!$C$2='Статистическая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37" s="157" t="str">
        <f t="shared" si="14"/>
        <v/>
      </c>
      <c r="AD37" s="152">
        <f t="shared" si="15"/>
        <v>0</v>
      </c>
    </row>
    <row r="38" spans="2:30" x14ac:dyDescent="0.25">
      <c r="B38" s="111"/>
      <c r="C38" s="123"/>
      <c r="D38" s="110"/>
      <c r="E38" s="110"/>
      <c r="F38" s="112"/>
      <c r="G38" s="112"/>
      <c r="H38" s="112"/>
      <c r="I38" s="130">
        <f t="shared" si="2"/>
        <v>0</v>
      </c>
      <c r="J38" s="135"/>
      <c r="K38" s="125">
        <f t="shared" si="3"/>
        <v>0</v>
      </c>
      <c r="L38" s="125">
        <f t="shared" si="4"/>
        <v>0</v>
      </c>
      <c r="M38" s="125">
        <f t="shared" si="5"/>
        <v>0</v>
      </c>
      <c r="N38" s="125">
        <f t="shared" si="6"/>
        <v>0</v>
      </c>
      <c r="O38" s="130">
        <f t="shared" si="7"/>
        <v>0</v>
      </c>
      <c r="P38" s="136">
        <f t="shared" si="13"/>
        <v>0</v>
      </c>
      <c r="Q38" s="134">
        <f t="shared" si="16"/>
        <v>0</v>
      </c>
      <c r="R38" s="134"/>
      <c r="S38" s="125">
        <f t="shared" si="8"/>
        <v>0</v>
      </c>
      <c r="T38" s="125">
        <f t="shared" si="9"/>
        <v>0</v>
      </c>
      <c r="U38" s="125">
        <f>IF(O38&gt;0,SUM('Расчет ФОТ'!O38:R38)*'Расчет ФОТ'!$U$5,0)</f>
        <v>0</v>
      </c>
      <c r="V38" s="129">
        <f t="shared" si="10"/>
        <v>0</v>
      </c>
      <c r="W38" s="125">
        <f t="shared" si="11"/>
        <v>0</v>
      </c>
      <c r="X38" s="137">
        <f t="shared" si="12"/>
        <v>0</v>
      </c>
      <c r="Y38" s="153" t="str">
        <f>IF(X38&gt;0,IF(Калькуляция!$C$2='Статистическая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38" s="157" t="str">
        <f t="shared" si="14"/>
        <v/>
      </c>
      <c r="AD38" s="152">
        <f t="shared" si="15"/>
        <v>0</v>
      </c>
    </row>
    <row r="39" spans="2:30" x14ac:dyDescent="0.25">
      <c r="B39" s="111"/>
      <c r="C39" s="123"/>
      <c r="D39" s="110"/>
      <c r="E39" s="110"/>
      <c r="F39" s="112"/>
      <c r="G39" s="112"/>
      <c r="H39" s="112"/>
      <c r="I39" s="130">
        <f t="shared" si="2"/>
        <v>0</v>
      </c>
      <c r="J39" s="135"/>
      <c r="K39" s="125">
        <f t="shared" si="3"/>
        <v>0</v>
      </c>
      <c r="L39" s="125">
        <f t="shared" si="4"/>
        <v>0</v>
      </c>
      <c r="M39" s="125">
        <f t="shared" si="5"/>
        <v>0</v>
      </c>
      <c r="N39" s="125">
        <f t="shared" si="6"/>
        <v>0</v>
      </c>
      <c r="O39" s="130">
        <f t="shared" si="7"/>
        <v>0</v>
      </c>
      <c r="P39" s="136">
        <f t="shared" si="13"/>
        <v>0</v>
      </c>
      <c r="Q39" s="134">
        <f t="shared" si="16"/>
        <v>0</v>
      </c>
      <c r="R39" s="134"/>
      <c r="S39" s="125">
        <f t="shared" si="8"/>
        <v>0</v>
      </c>
      <c r="T39" s="125">
        <f t="shared" si="9"/>
        <v>0</v>
      </c>
      <c r="U39" s="125">
        <f>IF(O39&gt;0,SUM('Расчет ФОТ'!O39:R39)*'Расчет ФОТ'!$U$5,0)</f>
        <v>0</v>
      </c>
      <c r="V39" s="129">
        <f t="shared" si="10"/>
        <v>0</v>
      </c>
      <c r="W39" s="125">
        <f t="shared" si="11"/>
        <v>0</v>
      </c>
      <c r="X39" s="137">
        <f t="shared" si="12"/>
        <v>0</v>
      </c>
      <c r="Y39" s="153" t="str">
        <f>IF(X39&gt;0,IF(Калькуляция!$C$2='Статистическая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39" s="157" t="str">
        <f t="shared" si="14"/>
        <v/>
      </c>
      <c r="AD39" s="152">
        <f t="shared" si="15"/>
        <v>0</v>
      </c>
    </row>
    <row r="40" spans="2:30" x14ac:dyDescent="0.25">
      <c r="B40" s="111"/>
      <c r="C40" s="123"/>
      <c r="D40" s="110"/>
      <c r="E40" s="110"/>
      <c r="F40" s="112"/>
      <c r="G40" s="112"/>
      <c r="H40" s="112"/>
      <c r="I40" s="130">
        <f t="shared" si="2"/>
        <v>0</v>
      </c>
      <c r="J40" s="138"/>
      <c r="K40" s="125">
        <f t="shared" si="3"/>
        <v>0</v>
      </c>
      <c r="L40" s="125">
        <f t="shared" si="4"/>
        <v>0</v>
      </c>
      <c r="M40" s="125">
        <f t="shared" si="5"/>
        <v>0</v>
      </c>
      <c r="N40" s="125">
        <f t="shared" si="6"/>
        <v>0</v>
      </c>
      <c r="O40" s="130">
        <f t="shared" si="7"/>
        <v>0</v>
      </c>
      <c r="P40" s="136">
        <f t="shared" si="13"/>
        <v>0</v>
      </c>
      <c r="Q40" s="134">
        <f t="shared" si="16"/>
        <v>0</v>
      </c>
      <c r="R40" s="134"/>
      <c r="S40" s="125">
        <f t="shared" si="8"/>
        <v>0</v>
      </c>
      <c r="T40" s="125">
        <f t="shared" si="9"/>
        <v>0</v>
      </c>
      <c r="U40" s="125">
        <f>IF(O40&gt;0,SUM('Расчет ФОТ'!O40:R40)*'Расчет ФОТ'!$U$5,0)</f>
        <v>0</v>
      </c>
      <c r="V40" s="129">
        <f t="shared" si="10"/>
        <v>0</v>
      </c>
      <c r="W40" s="125">
        <f t="shared" si="11"/>
        <v>0</v>
      </c>
      <c r="X40" s="137">
        <f t="shared" si="12"/>
        <v>0</v>
      </c>
      <c r="Y40" s="153" t="str">
        <f>IF(X40&gt;0,IF(Калькуляция!$C$2='Статистическая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40" s="157" t="str">
        <f t="shared" si="14"/>
        <v/>
      </c>
      <c r="AD40" s="152">
        <f t="shared" si="15"/>
        <v>0</v>
      </c>
    </row>
    <row r="41" spans="2:30" x14ac:dyDescent="0.25">
      <c r="B41" s="111"/>
      <c r="C41" s="123"/>
      <c r="D41" s="110"/>
      <c r="E41" s="110"/>
      <c r="F41" s="112"/>
      <c r="G41" s="112"/>
      <c r="H41" s="112"/>
      <c r="I41" s="130">
        <f t="shared" si="2"/>
        <v>0</v>
      </c>
      <c r="J41" s="135"/>
      <c r="K41" s="125">
        <f t="shared" si="3"/>
        <v>0</v>
      </c>
      <c r="L41" s="125">
        <f t="shared" si="4"/>
        <v>0</v>
      </c>
      <c r="M41" s="125">
        <f t="shared" si="5"/>
        <v>0</v>
      </c>
      <c r="N41" s="125">
        <f t="shared" si="6"/>
        <v>0</v>
      </c>
      <c r="O41" s="130">
        <f t="shared" si="7"/>
        <v>0</v>
      </c>
      <c r="P41" s="136">
        <f t="shared" si="13"/>
        <v>0</v>
      </c>
      <c r="Q41" s="134">
        <f t="shared" si="16"/>
        <v>0</v>
      </c>
      <c r="R41" s="134"/>
      <c r="S41" s="125">
        <f t="shared" si="8"/>
        <v>0</v>
      </c>
      <c r="T41" s="125">
        <f t="shared" si="9"/>
        <v>0</v>
      </c>
      <c r="U41" s="125">
        <f>IF(O41&gt;0,SUM('Расчет ФОТ'!O41:R41)*'Расчет ФОТ'!$U$5,0)</f>
        <v>0</v>
      </c>
      <c r="V41" s="129">
        <f t="shared" si="10"/>
        <v>0</v>
      </c>
      <c r="W41" s="125">
        <f t="shared" si="11"/>
        <v>0</v>
      </c>
      <c r="X41" s="137">
        <f t="shared" si="12"/>
        <v>0</v>
      </c>
      <c r="Y41" s="153" t="str">
        <f>IF(X41&gt;0,IF(Калькуляция!$C$2='Статистическая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41" s="157" t="str">
        <f t="shared" si="14"/>
        <v/>
      </c>
      <c r="AD41" s="152">
        <f t="shared" si="15"/>
        <v>0</v>
      </c>
    </row>
    <row r="42" spans="2:30" x14ac:dyDescent="0.25">
      <c r="B42" s="111"/>
      <c r="C42" s="123"/>
      <c r="D42" s="110"/>
      <c r="E42" s="110"/>
      <c r="F42" s="112"/>
      <c r="G42" s="112"/>
      <c r="H42" s="112"/>
      <c r="I42" s="130">
        <f t="shared" si="2"/>
        <v>0</v>
      </c>
      <c r="J42" s="135"/>
      <c r="K42" s="125">
        <f t="shared" si="3"/>
        <v>0</v>
      </c>
      <c r="L42" s="125">
        <f t="shared" si="4"/>
        <v>0</v>
      </c>
      <c r="M42" s="125">
        <f t="shared" si="5"/>
        <v>0</v>
      </c>
      <c r="N42" s="125">
        <f t="shared" si="6"/>
        <v>0</v>
      </c>
      <c r="O42" s="130">
        <f t="shared" si="7"/>
        <v>0</v>
      </c>
      <c r="P42" s="136">
        <f t="shared" si="13"/>
        <v>0</v>
      </c>
      <c r="Q42" s="134">
        <f t="shared" si="16"/>
        <v>0</v>
      </c>
      <c r="R42" s="134"/>
      <c r="S42" s="125">
        <f t="shared" si="8"/>
        <v>0</v>
      </c>
      <c r="T42" s="125">
        <f t="shared" si="9"/>
        <v>0</v>
      </c>
      <c r="U42" s="125">
        <f>IF(O42&gt;0,SUM('Расчет ФОТ'!O42:R42)*'Расчет ФОТ'!$U$5,0)</f>
        <v>0</v>
      </c>
      <c r="V42" s="129">
        <f t="shared" si="10"/>
        <v>0</v>
      </c>
      <c r="W42" s="125">
        <f t="shared" si="11"/>
        <v>0</v>
      </c>
      <c r="X42" s="137">
        <f t="shared" si="12"/>
        <v>0</v>
      </c>
      <c r="Y42" s="153" t="str">
        <f>IF(X42&gt;0,IF(Калькуляция!$C$2='Статистическая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42" s="157" t="str">
        <f t="shared" si="14"/>
        <v/>
      </c>
      <c r="AD42" s="152">
        <f t="shared" si="15"/>
        <v>0</v>
      </c>
    </row>
    <row r="43" spans="2:30" ht="16.5" thickBot="1" x14ac:dyDescent="0.3">
      <c r="B43" s="160"/>
      <c r="C43" s="139"/>
      <c r="D43" s="113"/>
      <c r="E43" s="113"/>
      <c r="F43" s="140"/>
      <c r="G43" s="140"/>
      <c r="H43" s="140"/>
      <c r="I43" s="143">
        <f t="shared" si="2"/>
        <v>0</v>
      </c>
      <c r="J43" s="141"/>
      <c r="K43" s="142">
        <f t="shared" si="3"/>
        <v>0</v>
      </c>
      <c r="L43" s="142">
        <f t="shared" si="4"/>
        <v>0</v>
      </c>
      <c r="M43" s="142">
        <f t="shared" si="5"/>
        <v>0</v>
      </c>
      <c r="N43" s="142">
        <f t="shared" si="6"/>
        <v>0</v>
      </c>
      <c r="O43" s="143">
        <f t="shared" si="7"/>
        <v>0</v>
      </c>
      <c r="P43" s="144">
        <f t="shared" si="13"/>
        <v>0</v>
      </c>
      <c r="Q43" s="145">
        <f t="shared" si="16"/>
        <v>0</v>
      </c>
      <c r="R43" s="145"/>
      <c r="S43" s="142">
        <f t="shared" si="8"/>
        <v>0</v>
      </c>
      <c r="T43" s="142">
        <f t="shared" si="9"/>
        <v>0</v>
      </c>
      <c r="U43" s="142">
        <f>IF(O43&gt;0,SUM('Расчет ФОТ'!O43:R43)*'Расчет ФОТ'!$U$5,0)</f>
        <v>0</v>
      </c>
      <c r="V43" s="146">
        <f t="shared" si="10"/>
        <v>0</v>
      </c>
      <c r="W43" s="142">
        <f t="shared" si="11"/>
        <v>0</v>
      </c>
      <c r="X43" s="147">
        <f t="shared" si="12"/>
        <v>0</v>
      </c>
      <c r="Y43" s="158" t="str">
        <f>IF(X43&gt;0,IF(Калькуляция!$C$2='Статистическая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43" s="154" t="str">
        <f t="shared" si="14"/>
        <v/>
      </c>
      <c r="AD43" s="152">
        <f t="shared" si="15"/>
        <v>0</v>
      </c>
    </row>
    <row r="47" spans="2:30" x14ac:dyDescent="0.25">
      <c r="O47" s="152"/>
      <c r="S47" s="152"/>
      <c r="U47" s="152"/>
    </row>
    <row r="48" spans="2:30" x14ac:dyDescent="0.25">
      <c r="O48" s="152"/>
      <c r="S48" s="159"/>
      <c r="U48" s="159"/>
    </row>
    <row r="49" spans="2:21" x14ac:dyDescent="0.25">
      <c r="U49" s="159"/>
    </row>
    <row r="51" spans="2:21" ht="15.75" hidden="1" customHeight="1" x14ac:dyDescent="0.25">
      <c r="B51" s="148" t="s">
        <v>187</v>
      </c>
    </row>
    <row r="52" spans="2:21" ht="15.75" hidden="1" customHeight="1" x14ac:dyDescent="0.25">
      <c r="B52" s="148" t="s">
        <v>259</v>
      </c>
    </row>
    <row r="53" spans="2:21" hidden="1" x14ac:dyDescent="0.25">
      <c r="B53" s="148" t="s">
        <v>258</v>
      </c>
    </row>
  </sheetData>
  <sheetProtection algorithmName="SHA-512" hashValue="2DT/TfzMTe95AzvJZEMIWAibW+AeDAFM4ZQ1pFjK8DnzpJiZV4tg4Jyu296JtcBpMDZKcxX1BpueFCYs+Tp/Zg==" saltValue="qpoQwoRgu9sH+pGRzC01NA==" spinCount="100000" sheet="1" formatCells="0" formatColumns="0" formatRows="0" insertColumns="0" insertRows="0" insertHyperlinks="0" deleteColumns="0" deleteRows="0" sort="0" autoFilter="0" pivotTables="0"/>
  <mergeCells count="30">
    <mergeCell ref="B2:B5"/>
    <mergeCell ref="H4:H5"/>
    <mergeCell ref="C4:C5"/>
    <mergeCell ref="D4:D5"/>
    <mergeCell ref="J4:J5"/>
    <mergeCell ref="C2:I3"/>
    <mergeCell ref="J3:L3"/>
    <mergeCell ref="J2:O2"/>
    <mergeCell ref="I4:I5"/>
    <mergeCell ref="M4:M5"/>
    <mergeCell ref="F4:F5"/>
    <mergeCell ref="G4:G5"/>
    <mergeCell ref="E4:E5"/>
    <mergeCell ref="K4:K5"/>
    <mergeCell ref="L4:L5"/>
    <mergeCell ref="M3:O3"/>
    <mergeCell ref="Y2:Y5"/>
    <mergeCell ref="Z2:Z5"/>
    <mergeCell ref="V2:V3"/>
    <mergeCell ref="X2:X3"/>
    <mergeCell ref="W2:W3"/>
    <mergeCell ref="V4:X5"/>
    <mergeCell ref="P2:U3"/>
    <mergeCell ref="T4:T5"/>
    <mergeCell ref="N4:N5"/>
    <mergeCell ref="P4:P5"/>
    <mergeCell ref="Q4:Q5"/>
    <mergeCell ref="S4:S5"/>
    <mergeCell ref="O4:O5"/>
    <mergeCell ref="R4:R5"/>
  </mergeCells>
  <conditionalFormatting sqref="I9">
    <cfRule type="cellIs" dxfId="72" priority="50" operator="greaterThan">
      <formula>$AD$9</formula>
    </cfRule>
    <cfRule type="cellIs" dxfId="71" priority="70" operator="lessThan">
      <formula>$AD$9</formula>
    </cfRule>
  </conditionalFormatting>
  <conditionalFormatting sqref="I10">
    <cfRule type="cellIs" dxfId="70" priority="49" operator="greaterThan">
      <formula>$AD$10</formula>
    </cfRule>
    <cfRule type="cellIs" dxfId="69" priority="69" operator="lessThan">
      <formula>$AD$10</formula>
    </cfRule>
  </conditionalFormatting>
  <conditionalFormatting sqref="I11">
    <cfRule type="cellIs" dxfId="68" priority="48" operator="greaterThan">
      <formula>$AD$11</formula>
    </cfRule>
    <cfRule type="cellIs" dxfId="67" priority="68" operator="lessThan">
      <formula>$AD$11</formula>
    </cfRule>
  </conditionalFormatting>
  <conditionalFormatting sqref="I12">
    <cfRule type="cellIs" dxfId="66" priority="47" operator="greaterThan">
      <formula>$AD$12</formula>
    </cfRule>
    <cfRule type="cellIs" dxfId="65" priority="67" operator="lessThan">
      <formula>$AD$12</formula>
    </cfRule>
  </conditionalFormatting>
  <conditionalFormatting sqref="I13">
    <cfRule type="cellIs" dxfId="64" priority="66" operator="lessThan">
      <formula>$AD$13</formula>
    </cfRule>
    <cfRule type="cellIs" dxfId="63" priority="46" operator="greaterThan">
      <formula>$AD$13</formula>
    </cfRule>
  </conditionalFormatting>
  <conditionalFormatting sqref="I14">
    <cfRule type="cellIs" dxfId="62" priority="65" operator="lessThan">
      <formula>$AD$14</formula>
    </cfRule>
    <cfRule type="cellIs" dxfId="61" priority="45" operator="greaterThan">
      <formula>$AD$14</formula>
    </cfRule>
  </conditionalFormatting>
  <conditionalFormatting sqref="I15">
    <cfRule type="cellIs" dxfId="60" priority="64" operator="lessThan">
      <formula>$AD$15</formula>
    </cfRule>
    <cfRule type="cellIs" dxfId="59" priority="44" operator="greaterThan">
      <formula>$AD$15</formula>
    </cfRule>
  </conditionalFormatting>
  <conditionalFormatting sqref="I16">
    <cfRule type="cellIs" dxfId="58" priority="63" operator="lessThan">
      <formula>$AD$16</formula>
    </cfRule>
    <cfRule type="cellIs" dxfId="57" priority="43" operator="greaterThan">
      <formula>$AD$16</formula>
    </cfRule>
  </conditionalFormatting>
  <conditionalFormatting sqref="I17">
    <cfRule type="cellIs" dxfId="56" priority="62" operator="lessThan">
      <formula>$AD$17</formula>
    </cfRule>
    <cfRule type="cellIs" dxfId="55" priority="42" operator="greaterThan">
      <formula>$AD$17</formula>
    </cfRule>
  </conditionalFormatting>
  <conditionalFormatting sqref="I18">
    <cfRule type="cellIs" dxfId="54" priority="61" operator="lessThan">
      <formula>$AD$18</formula>
    </cfRule>
    <cfRule type="cellIs" dxfId="53" priority="41" operator="greaterThan">
      <formula>$AD$18</formula>
    </cfRule>
  </conditionalFormatting>
  <conditionalFormatting sqref="I19">
    <cfRule type="cellIs" dxfId="52" priority="60" operator="lessThan">
      <formula>$AD$19</formula>
    </cfRule>
    <cfRule type="cellIs" dxfId="51" priority="40" operator="greaterThan">
      <formula>$AD$19</formula>
    </cfRule>
  </conditionalFormatting>
  <conditionalFormatting sqref="I20">
    <cfRule type="cellIs" dxfId="50" priority="39" operator="greaterThan">
      <formula>$AD$20</formula>
    </cfRule>
    <cfRule type="cellIs" dxfId="49" priority="59" operator="lessThan">
      <formula>$AD$20</formula>
    </cfRule>
  </conditionalFormatting>
  <conditionalFormatting sqref="I21">
    <cfRule type="cellIs" dxfId="48" priority="58" operator="lessThan">
      <formula>$AD$21</formula>
    </cfRule>
    <cfRule type="cellIs" dxfId="47" priority="38" operator="greaterThan">
      <formula>$AD$21</formula>
    </cfRule>
  </conditionalFormatting>
  <conditionalFormatting sqref="I22">
    <cfRule type="cellIs" dxfId="46" priority="30" operator="lessThan">
      <formula>$AD$22</formula>
    </cfRule>
    <cfRule type="cellIs" dxfId="45" priority="29" operator="greaterThan">
      <formula>$AD$22</formula>
    </cfRule>
  </conditionalFormatting>
  <conditionalFormatting sqref="I23">
    <cfRule type="cellIs" dxfId="44" priority="28" operator="lessThan">
      <formula>$AD$23</formula>
    </cfRule>
    <cfRule type="cellIs" dxfId="43" priority="27" operator="greaterThan">
      <formula>$AD$23</formula>
    </cfRule>
  </conditionalFormatting>
  <conditionalFormatting sqref="I24">
    <cfRule type="cellIs" dxfId="42" priority="25" operator="greaterThan">
      <formula>$AD$24</formula>
    </cfRule>
    <cfRule type="cellIs" dxfId="41" priority="26" operator="lessThan">
      <formula>$AD$24</formula>
    </cfRule>
  </conditionalFormatting>
  <conditionalFormatting sqref="I25">
    <cfRule type="cellIs" dxfId="40" priority="24" operator="lessThan">
      <formula>$AD$25</formula>
    </cfRule>
    <cfRule type="cellIs" dxfId="39" priority="23" operator="greaterThan">
      <formula>$AD$25</formula>
    </cfRule>
  </conditionalFormatting>
  <conditionalFormatting sqref="I26">
    <cfRule type="cellIs" dxfId="38" priority="22" operator="lessThan">
      <formula>$AD$26</formula>
    </cfRule>
    <cfRule type="cellIs" dxfId="37" priority="21" operator="greaterThan">
      <formula>$AD$26</formula>
    </cfRule>
  </conditionalFormatting>
  <conditionalFormatting sqref="I27">
    <cfRule type="cellIs" dxfId="36" priority="20" operator="lessThan">
      <formula>$AD$27</formula>
    </cfRule>
    <cfRule type="cellIs" dxfId="35" priority="19" operator="greaterThan">
      <formula>$AD$27</formula>
    </cfRule>
  </conditionalFormatting>
  <conditionalFormatting sqref="I28">
    <cfRule type="cellIs" dxfId="34" priority="18" operator="lessThan">
      <formula>$AD$28</formula>
    </cfRule>
    <cfRule type="cellIs" dxfId="33" priority="17" operator="greaterThan">
      <formula>$AD$28</formula>
    </cfRule>
  </conditionalFormatting>
  <conditionalFormatting sqref="I29">
    <cfRule type="cellIs" dxfId="32" priority="16" operator="lessThan">
      <formula>$AD$29</formula>
    </cfRule>
    <cfRule type="cellIs" dxfId="31" priority="15" operator="greaterThan">
      <formula>$AD$29</formula>
    </cfRule>
  </conditionalFormatting>
  <conditionalFormatting sqref="I30">
    <cfRule type="cellIs" dxfId="30" priority="14" operator="lessThan">
      <formula>$AD$30</formula>
    </cfRule>
    <cfRule type="cellIs" dxfId="29" priority="13" operator="greaterThan">
      <formula>$AD$30</formula>
    </cfRule>
  </conditionalFormatting>
  <conditionalFormatting sqref="I31">
    <cfRule type="cellIs" dxfId="28" priority="12" operator="lessThan">
      <formula>$AD$31</formula>
    </cfRule>
    <cfRule type="cellIs" dxfId="27" priority="11" operator="greaterThan">
      <formula>$AD$31</formula>
    </cfRule>
  </conditionalFormatting>
  <conditionalFormatting sqref="I32">
    <cfRule type="cellIs" dxfId="26" priority="10" operator="lessThan">
      <formula>$AD$32</formula>
    </cfRule>
    <cfRule type="cellIs" dxfId="25" priority="9" operator="greaterThan">
      <formula>$AD$32</formula>
    </cfRule>
  </conditionalFormatting>
  <conditionalFormatting sqref="I33">
    <cfRule type="cellIs" dxfId="24" priority="8" operator="lessThan">
      <formula>$AD$33</formula>
    </cfRule>
    <cfRule type="cellIs" dxfId="23" priority="7" operator="greaterThan">
      <formula>$AD$33</formula>
    </cfRule>
  </conditionalFormatting>
  <conditionalFormatting sqref="I34">
    <cfRule type="cellIs" dxfId="22" priority="5" operator="greaterThan">
      <formula>$AD$34</formula>
    </cfRule>
    <cfRule type="cellIs" dxfId="21" priority="6" operator="lessThan">
      <formula>$AD$34</formula>
    </cfRule>
  </conditionalFormatting>
  <conditionalFormatting sqref="I35">
    <cfRule type="cellIs" dxfId="20" priority="4" operator="lessThan">
      <formula>$AD$35</formula>
    </cfRule>
    <cfRule type="cellIs" dxfId="19" priority="3" operator="greaterThan">
      <formula>$AD$35</formula>
    </cfRule>
  </conditionalFormatting>
  <conditionalFormatting sqref="I36">
    <cfRule type="cellIs" dxfId="18" priority="2" operator="lessThan">
      <formula>$AD$36</formula>
    </cfRule>
    <cfRule type="cellIs" dxfId="17" priority="1" operator="greaterThan">
      <formula>$AD$36</formula>
    </cfRule>
  </conditionalFormatting>
  <conditionalFormatting sqref="I37">
    <cfRule type="cellIs" dxfId="16" priority="57" operator="lessThan">
      <formula>$AD$37</formula>
    </cfRule>
    <cfRule type="cellIs" dxfId="15" priority="37" operator="greaterThan">
      <formula>$AD$37</formula>
    </cfRule>
  </conditionalFormatting>
  <conditionalFormatting sqref="I38">
    <cfRule type="cellIs" dxfId="14" priority="56" operator="lessThan">
      <formula>$AD$38</formula>
    </cfRule>
    <cfRule type="cellIs" dxfId="13" priority="36" operator="greaterThan">
      <formula>$AD$38</formula>
    </cfRule>
  </conditionalFormatting>
  <conditionalFormatting sqref="I39">
    <cfRule type="cellIs" dxfId="12" priority="35" operator="greaterThan">
      <formula>$AD$39</formula>
    </cfRule>
    <cfRule type="cellIs" dxfId="11" priority="55" operator="lessThan">
      <formula>$AD$39</formula>
    </cfRule>
  </conditionalFormatting>
  <conditionalFormatting sqref="I40">
    <cfRule type="cellIs" dxfId="10" priority="54" operator="lessThan">
      <formula>$AD$40</formula>
    </cfRule>
    <cfRule type="cellIs" dxfId="9" priority="34" operator="greaterThan">
      <formula>$AD$40</formula>
    </cfRule>
  </conditionalFormatting>
  <conditionalFormatting sqref="I41">
    <cfRule type="cellIs" dxfId="8" priority="53" operator="lessThan">
      <formula>$AD$41</formula>
    </cfRule>
    <cfRule type="cellIs" dxfId="7" priority="33" operator="greaterThan">
      <formula>$AD$41</formula>
    </cfRule>
  </conditionalFormatting>
  <conditionalFormatting sqref="I42">
    <cfRule type="cellIs" dxfId="6" priority="52" operator="lessThan">
      <formula>$AD$42</formula>
    </cfRule>
    <cfRule type="cellIs" dxfId="5" priority="32" operator="greaterThan">
      <formula>$AD$42</formula>
    </cfRule>
  </conditionalFormatting>
  <conditionalFormatting sqref="I43">
    <cfRule type="cellIs" dxfId="4" priority="51" operator="lessThan">
      <formula>$AD$43</formula>
    </cfRule>
    <cfRule type="cellIs" dxfId="3" priority="31" operator="greaterThan">
      <formula>$AD$43</formula>
    </cfRule>
  </conditionalFormatting>
  <conditionalFormatting sqref="Z6:Z43">
    <cfRule type="cellIs" dxfId="2" priority="74" operator="greaterThan">
      <formula>0</formula>
    </cfRule>
  </conditionalFormatting>
  <conditionalFormatting sqref="Z9:Z43">
    <cfRule type="cellIs" dxfId="1" priority="71" operator="equal">
      <formula>""</formula>
    </cfRule>
    <cfRule type="cellIs" dxfId="0" priority="79" operator="lessThan">
      <formula>0</formula>
    </cfRule>
  </conditionalFormatting>
  <dataValidations count="2">
    <dataValidation type="list" allowBlank="1" showInputMessage="1" showErrorMessage="1" sqref="E7:E8" xr:uid="{00000000-0002-0000-0300-000000000000}">
      <formula1>$B$51:$B$52</formula1>
    </dataValidation>
    <dataValidation type="list" allowBlank="1" showInputMessage="1" showErrorMessage="1" sqref="E9:E43" xr:uid="{00000000-0002-0000-0300-000001000000}">
      <formula1>$B$51:$B$53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I67"/>
  <sheetViews>
    <sheetView topLeftCell="A4" zoomScale="80" zoomScaleNormal="80" workbookViewId="0">
      <selection activeCell="I32" sqref="I32"/>
    </sheetView>
  </sheetViews>
  <sheetFormatPr defaultColWidth="8.7109375" defaultRowHeight="15" x14ac:dyDescent="0.25"/>
  <cols>
    <col min="1" max="1" width="5.42578125" style="162" customWidth="1"/>
    <col min="2" max="2" width="49" style="171" customWidth="1"/>
    <col min="3" max="3" width="22.42578125" style="171" customWidth="1"/>
    <col min="4" max="4" width="20.28515625" style="171" customWidth="1"/>
    <col min="5" max="5" width="12.7109375" style="171" customWidth="1"/>
    <col min="6" max="6" width="12.7109375" style="162" customWidth="1"/>
    <col min="7" max="7" width="8.7109375" style="162"/>
    <col min="8" max="8" width="16.7109375" style="162" customWidth="1"/>
    <col min="9" max="9" width="20.42578125" style="162" customWidth="1"/>
    <col min="10" max="16384" width="8.7109375" style="162"/>
  </cols>
  <sheetData>
    <row r="1" spans="2:9" ht="15.75" thickBot="1" x14ac:dyDescent="0.3">
      <c r="B1" s="166"/>
      <c r="C1" s="166"/>
      <c r="D1" s="166"/>
      <c r="E1" s="162"/>
    </row>
    <row r="2" spans="2:9" x14ac:dyDescent="0.25">
      <c r="B2" s="352" t="str">
        <f>Калькуляция!B1</f>
        <v xml:space="preserve">Наименование/ИНН подрядчика </v>
      </c>
      <c r="C2" s="353"/>
      <c r="D2" s="353"/>
      <c r="E2" s="354" t="str">
        <f>Калькуляция!C1</f>
        <v>ООО "ПРИМЕР"</v>
      </c>
      <c r="F2" s="354"/>
      <c r="G2" s="354"/>
      <c r="H2" s="354"/>
      <c r="I2" s="355"/>
    </row>
    <row r="3" spans="2:9" ht="15.75" thickBot="1" x14ac:dyDescent="0.3">
      <c r="B3" s="356" t="str">
        <f>Калькуляция!B6</f>
        <v>Адрес объекта (индекс, город (населенный пункт), улица, дом (корпус, строение), офис</v>
      </c>
      <c r="C3" s="357"/>
      <c r="D3" s="357"/>
      <c r="E3" s="358" t="str">
        <f>Калькуляция!C6</f>
        <v>г. Пример, ул. Пример, д. 8</v>
      </c>
      <c r="F3" s="358"/>
      <c r="G3" s="358"/>
      <c r="H3" s="358"/>
      <c r="I3" s="359"/>
    </row>
    <row r="4" spans="2:9" x14ac:dyDescent="0.25">
      <c r="B4" s="166"/>
      <c r="C4" s="166"/>
      <c r="D4" s="166"/>
      <c r="E4" s="162"/>
    </row>
    <row r="5" spans="2:9" x14ac:dyDescent="0.25">
      <c r="B5" s="161" t="s">
        <v>262</v>
      </c>
      <c r="C5" s="161"/>
      <c r="D5" s="161"/>
      <c r="E5" s="161"/>
    </row>
    <row r="6" spans="2:9" ht="15.75" thickBot="1" x14ac:dyDescent="0.3">
      <c r="B6" s="162"/>
      <c r="C6" s="162"/>
      <c r="D6" s="162"/>
      <c r="E6" s="162"/>
    </row>
    <row r="7" spans="2:9" ht="57" x14ac:dyDescent="0.25">
      <c r="B7" s="167" t="s">
        <v>17</v>
      </c>
      <c r="C7" s="180" t="s">
        <v>263</v>
      </c>
      <c r="D7" s="180" t="s">
        <v>277</v>
      </c>
      <c r="E7" s="168" t="s">
        <v>264</v>
      </c>
      <c r="F7" s="163"/>
    </row>
    <row r="8" spans="2:9" ht="15.75" x14ac:dyDescent="0.25">
      <c r="B8" s="164" t="s">
        <v>265</v>
      </c>
      <c r="C8" s="255">
        <f>Калькуляция!F12</f>
        <v>1011966.2748072306</v>
      </c>
      <c r="D8" s="255">
        <f>Калькуляция!G12</f>
        <v>12143595.297686767</v>
      </c>
      <c r="E8" s="174">
        <f>Калькуляция!H12</f>
        <v>0.50773508833567704</v>
      </c>
    </row>
    <row r="9" spans="2:9" ht="15.75" x14ac:dyDescent="0.25">
      <c r="B9" s="164" t="s">
        <v>266</v>
      </c>
      <c r="C9" s="255">
        <f>Калькуляция!F13</f>
        <v>503090.99240908556</v>
      </c>
      <c r="D9" s="255">
        <f>Калькуляция!G13</f>
        <v>6037091.9089090265</v>
      </c>
      <c r="E9" s="174">
        <f>Калькуляция!H13</f>
        <v>0.2524164646893679</v>
      </c>
    </row>
    <row r="10" spans="2:9" ht="15.75" x14ac:dyDescent="0.25">
      <c r="B10" s="164" t="s">
        <v>8</v>
      </c>
      <c r="C10" s="255">
        <f>Калькуляция!F16</f>
        <v>74166.666666666657</v>
      </c>
      <c r="D10" s="255">
        <f>Калькуляция!G16</f>
        <v>890000</v>
      </c>
      <c r="E10" s="174">
        <f>Калькуляция!H16</f>
        <v>3.7211733225730279E-2</v>
      </c>
    </row>
    <row r="11" spans="2:9" ht="15.75" x14ac:dyDescent="0.25">
      <c r="B11" s="164" t="s">
        <v>1</v>
      </c>
      <c r="C11" s="255">
        <f>Калькуляция!F21</f>
        <v>14166.666666666668</v>
      </c>
      <c r="D11" s="255">
        <f>Калькуляция!G21</f>
        <v>170000</v>
      </c>
      <c r="E11" s="174">
        <f>Калькуляция!H21</f>
        <v>7.1078591554765693E-3</v>
      </c>
    </row>
    <row r="12" spans="2:9" ht="15.75" x14ac:dyDescent="0.25">
      <c r="B12" s="164" t="s">
        <v>2</v>
      </c>
      <c r="C12" s="255">
        <f>Калькуляция!F30</f>
        <v>6416.666666666667</v>
      </c>
      <c r="D12" s="255">
        <f>Калькуляция!G30</f>
        <v>77000</v>
      </c>
      <c r="E12" s="174">
        <f>Калькуляция!H30</f>
        <v>3.2194420880687991E-3</v>
      </c>
    </row>
    <row r="13" spans="2:9" ht="15.75" x14ac:dyDescent="0.25">
      <c r="B13" s="164" t="s">
        <v>3</v>
      </c>
      <c r="C13" s="255">
        <f>Калькуляция!F39</f>
        <v>41011.904761904763</v>
      </c>
      <c r="D13" s="255">
        <f>Калькуляция!G39</f>
        <v>492142.85714285716</v>
      </c>
      <c r="E13" s="174">
        <f>Калькуляция!H39</f>
        <v>2.0576953605560323E-2</v>
      </c>
    </row>
    <row r="14" spans="2:9" ht="15.75" x14ac:dyDescent="0.25">
      <c r="B14" s="164" t="s">
        <v>35</v>
      </c>
      <c r="C14" s="255">
        <f>Калькуляция!F48</f>
        <v>16666.666666666668</v>
      </c>
      <c r="D14" s="255">
        <f>Калькуляция!G48</f>
        <v>200000</v>
      </c>
      <c r="E14" s="174">
        <f>Калькуляция!H48</f>
        <v>8.3621872417371408E-3</v>
      </c>
    </row>
    <row r="15" spans="2:9" ht="15.75" x14ac:dyDescent="0.25">
      <c r="B15" s="164" t="s">
        <v>4</v>
      </c>
      <c r="C15" s="255">
        <f>Калькуляция!F49</f>
        <v>50000</v>
      </c>
      <c r="D15" s="255">
        <f>Калькуляция!G49</f>
        <v>600000</v>
      </c>
      <c r="E15" s="174">
        <f>Калькуляция!H49</f>
        <v>2.5086561725211422E-2</v>
      </c>
    </row>
    <row r="16" spans="2:9" ht="15.75" x14ac:dyDescent="0.25">
      <c r="B16" s="164" t="s">
        <v>12</v>
      </c>
      <c r="C16" s="255">
        <f>SUM(Калькуляция!F55:F62)</f>
        <v>1666.6666666666667</v>
      </c>
      <c r="D16" s="255">
        <f>SUM(Калькуляция!G55:G62)</f>
        <v>20000</v>
      </c>
      <c r="E16" s="174">
        <f>IF(Калькуляция!G69=0,"",SUM(Калькуляция!H55:H62))</f>
        <v>8.3621872417371406E-4</v>
      </c>
    </row>
    <row r="17" spans="2:9" ht="15.75" x14ac:dyDescent="0.25">
      <c r="B17" s="164" t="s">
        <v>21</v>
      </c>
      <c r="C17" s="255">
        <f>Калькуляция!F64</f>
        <v>159881.18299397457</v>
      </c>
      <c r="D17" s="255">
        <f>Калькуляция!G64</f>
        <v>1918574.1959276947</v>
      </c>
      <c r="E17" s="174">
        <f>Калькуляция!H64</f>
        <v>8.0217383317563312E-2</v>
      </c>
    </row>
    <row r="18" spans="2:9" ht="15.75" x14ac:dyDescent="0.25">
      <c r="B18" s="164" t="s">
        <v>267</v>
      </c>
      <c r="C18" s="255">
        <f>Калькуляция!F65</f>
        <v>52263.750291248783</v>
      </c>
      <c r="D18" s="255">
        <f>Калькуляция!G65</f>
        <v>627165.0034949854</v>
      </c>
      <c r="E18" s="174">
        <f>Калькуляция!H65</f>
        <v>2.6222355953448982E-2</v>
      </c>
    </row>
    <row r="19" spans="2:9" ht="15.75" x14ac:dyDescent="0.25">
      <c r="B19" s="164" t="s">
        <v>27</v>
      </c>
      <c r="C19" s="255">
        <f>Калькуляция!F67</f>
        <v>61801.51803509688</v>
      </c>
      <c r="D19" s="255">
        <f>Калькуляция!G67</f>
        <v>741618.21642116259</v>
      </c>
      <c r="E19" s="174">
        <f>Калькуляция!H67</f>
        <v>3.1007751937984499E-2</v>
      </c>
    </row>
    <row r="20" spans="2:9" ht="15.75" x14ac:dyDescent="0.25">
      <c r="B20" s="164" t="s">
        <v>186</v>
      </c>
      <c r="C20" s="255">
        <f>Калькуляция!F68</f>
        <v>15450.37950877422</v>
      </c>
      <c r="D20" s="255">
        <f>Калькуляция!G68</f>
        <v>185404.55410529065</v>
      </c>
      <c r="E20" s="174"/>
    </row>
    <row r="21" spans="2:9" ht="15.75" x14ac:dyDescent="0.25">
      <c r="B21" s="164" t="s">
        <v>20</v>
      </c>
      <c r="C21" s="175">
        <f>Калькуляция!F69</f>
        <v>1993098.9566318749</v>
      </c>
      <c r="D21" s="175">
        <f>Калькуляция!G69</f>
        <v>23917187.479582492</v>
      </c>
      <c r="E21" s="174"/>
    </row>
    <row r="22" spans="2:9" ht="15.75" x14ac:dyDescent="0.25">
      <c r="B22" s="164" t="s">
        <v>24</v>
      </c>
      <c r="C22" s="255">
        <f>Калькуляция!F70</f>
        <v>438481.77045901248</v>
      </c>
      <c r="D22" s="255">
        <f>Калькуляция!G70</f>
        <v>5261781.2455081483</v>
      </c>
      <c r="E22" s="174"/>
    </row>
    <row r="23" spans="2:9" ht="16.5" thickBot="1" x14ac:dyDescent="0.3">
      <c r="B23" s="165" t="s">
        <v>315</v>
      </c>
      <c r="C23" s="176">
        <f>Калькуляция!F71</f>
        <v>2431580.7270908873</v>
      </c>
      <c r="D23" s="176">
        <f>Калькуляция!G71</f>
        <v>29178968.725090642</v>
      </c>
      <c r="E23" s="177"/>
    </row>
    <row r="24" spans="2:9" x14ac:dyDescent="0.25">
      <c r="B24" s="162"/>
      <c r="C24" s="162"/>
      <c r="D24" s="162"/>
      <c r="E24" s="162"/>
    </row>
    <row r="25" spans="2:9" x14ac:dyDescent="0.25">
      <c r="B25" s="360" t="s">
        <v>278</v>
      </c>
      <c r="C25" s="360"/>
      <c r="D25" s="360"/>
      <c r="E25" s="173"/>
    </row>
    <row r="26" spans="2:9" x14ac:dyDescent="0.25">
      <c r="B26" s="360"/>
      <c r="C26" s="360"/>
      <c r="D26" s="360"/>
    </row>
    <row r="27" spans="2:9" x14ac:dyDescent="0.25">
      <c r="B27" s="166"/>
      <c r="C27" s="166"/>
      <c r="D27" s="166"/>
    </row>
    <row r="28" spans="2:9" x14ac:dyDescent="0.25">
      <c r="B28" s="161" t="s">
        <v>268</v>
      </c>
      <c r="C28" s="162"/>
      <c r="D28" s="162"/>
      <c r="E28" s="162"/>
    </row>
    <row r="29" spans="2:9" ht="15.75" thickBot="1" x14ac:dyDescent="0.3">
      <c r="B29" s="256"/>
      <c r="C29" s="162"/>
      <c r="D29" s="162"/>
      <c r="E29" s="162"/>
    </row>
    <row r="30" spans="2:9" ht="103.15" customHeight="1" x14ac:dyDescent="0.25">
      <c r="B30" s="345" t="s">
        <v>225</v>
      </c>
      <c r="C30" s="346"/>
      <c r="D30" s="346"/>
      <c r="E30" s="347" t="s">
        <v>271</v>
      </c>
      <c r="F30" s="347"/>
      <c r="G30" s="347"/>
      <c r="H30" s="348" t="s">
        <v>279</v>
      </c>
      <c r="I30" s="350" t="s">
        <v>280</v>
      </c>
    </row>
    <row r="31" spans="2:9" s="257" customFormat="1" ht="14.65" customHeight="1" x14ac:dyDescent="0.25">
      <c r="B31" s="172" t="s">
        <v>269</v>
      </c>
      <c r="C31" s="170" t="s">
        <v>28</v>
      </c>
      <c r="D31" s="170" t="s">
        <v>272</v>
      </c>
      <c r="E31" s="170" t="s">
        <v>233</v>
      </c>
      <c r="F31" s="170" t="s">
        <v>234</v>
      </c>
      <c r="G31" s="170" t="s">
        <v>270</v>
      </c>
      <c r="H31" s="349"/>
      <c r="I31" s="351"/>
    </row>
    <row r="32" spans="2:9" x14ac:dyDescent="0.25">
      <c r="B32" s="178" t="str">
        <f>'Расчет ФОТ'!B9</f>
        <v>Менеджер объекта</v>
      </c>
      <c r="C32" s="255">
        <f>'Расчет ФОТ'!C9</f>
        <v>1</v>
      </c>
      <c r="D32" s="255">
        <f>'Расчет ФОТ'!I9</f>
        <v>1971.84</v>
      </c>
      <c r="E32" s="255">
        <f>'Расчет ФОТ'!J9</f>
        <v>70000</v>
      </c>
      <c r="F32" s="255">
        <f>'Расчет ФОТ'!K9</f>
        <v>3407.9844206426487</v>
      </c>
      <c r="G32" s="255">
        <f>'Расчет ФОТ'!L9</f>
        <v>425.99805258033109</v>
      </c>
      <c r="H32" s="255">
        <f>'Расчет ФОТ'!V9-'Расчет ФОТ'!N9</f>
        <v>528909.02671531145</v>
      </c>
      <c r="I32" s="258">
        <f>'Расчет ФОТ'!V9</f>
        <v>1368909.0267153115</v>
      </c>
    </row>
    <row r="33" spans="2:9" x14ac:dyDescent="0.25">
      <c r="B33" s="178">
        <f>'Расчет ФОТ'!B10</f>
        <v>0</v>
      </c>
      <c r="C33" s="255">
        <f>'Расчет ФОТ'!C10</f>
        <v>0</v>
      </c>
      <c r="D33" s="255">
        <f>'Расчет ФОТ'!I10</f>
        <v>0</v>
      </c>
      <c r="E33" s="255">
        <f>'Расчет ФОТ'!J10</f>
        <v>0</v>
      </c>
      <c r="F33" s="255">
        <f>'Расчет ФОТ'!K10</f>
        <v>0</v>
      </c>
      <c r="G33" s="255">
        <f>'Расчет ФОТ'!L10</f>
        <v>0</v>
      </c>
      <c r="H33" s="255">
        <f>'Расчет ФОТ'!V10-'Расчет ФОТ'!N10</f>
        <v>0</v>
      </c>
      <c r="I33" s="258">
        <f>'Расчет ФОТ'!V10</f>
        <v>0</v>
      </c>
    </row>
    <row r="34" spans="2:9" x14ac:dyDescent="0.25">
      <c r="B34" s="178">
        <f>'Расчет ФОТ'!B11</f>
        <v>0</v>
      </c>
      <c r="C34" s="255">
        <f>'Расчет ФОТ'!C11</f>
        <v>0</v>
      </c>
      <c r="D34" s="255">
        <f>'Расчет ФОТ'!I11</f>
        <v>0</v>
      </c>
      <c r="E34" s="255">
        <f>'Расчет ФОТ'!J11</f>
        <v>0</v>
      </c>
      <c r="F34" s="255">
        <f>'Расчет ФОТ'!K11</f>
        <v>0</v>
      </c>
      <c r="G34" s="255">
        <f>'Расчет ФОТ'!L11</f>
        <v>0</v>
      </c>
      <c r="H34" s="255">
        <f>'Расчет ФОТ'!V11-'Расчет ФОТ'!N11</f>
        <v>0</v>
      </c>
      <c r="I34" s="258">
        <f>'Расчет ФОТ'!V11</f>
        <v>0</v>
      </c>
    </row>
    <row r="35" spans="2:9" x14ac:dyDescent="0.25">
      <c r="B35" s="178">
        <f>'Расчет ФОТ'!B12</f>
        <v>0</v>
      </c>
      <c r="C35" s="255">
        <f>'Расчет ФОТ'!C12</f>
        <v>0</v>
      </c>
      <c r="D35" s="255">
        <f>'Расчет ФОТ'!I12</f>
        <v>0</v>
      </c>
      <c r="E35" s="255">
        <f>'Расчет ФОТ'!J12</f>
        <v>0</v>
      </c>
      <c r="F35" s="255">
        <f>'Расчет ФОТ'!K12</f>
        <v>0</v>
      </c>
      <c r="G35" s="255">
        <f>'Расчет ФОТ'!L12</f>
        <v>0</v>
      </c>
      <c r="H35" s="255">
        <f>'Расчет ФОТ'!V12-'Расчет ФОТ'!N12</f>
        <v>0</v>
      </c>
      <c r="I35" s="258">
        <f>'Расчет ФОТ'!V12</f>
        <v>0</v>
      </c>
    </row>
    <row r="36" spans="2:9" x14ac:dyDescent="0.25">
      <c r="B36" s="178" t="str">
        <f>'Расчет ФОТ'!B13</f>
        <v>Оператор внутренней уборки</v>
      </c>
      <c r="C36" s="255">
        <f>'Расчет ФОТ'!C13</f>
        <v>5</v>
      </c>
      <c r="D36" s="255">
        <f>'Расчет ФОТ'!I13</f>
        <v>15600</v>
      </c>
      <c r="E36" s="255">
        <f>'Расчет ФОТ'!J13</f>
        <v>70000</v>
      </c>
      <c r="F36" s="255">
        <f>'Расчет ФОТ'!K13</f>
        <v>2692.3076923076924</v>
      </c>
      <c r="G36" s="255">
        <f>'Расчет ФОТ'!L13</f>
        <v>269.23076923076923</v>
      </c>
      <c r="H36" s="255">
        <f>'Расчет ФОТ'!V13-'Расчет ФОТ'!N13</f>
        <v>2910721.8887712006</v>
      </c>
      <c r="I36" s="258">
        <f>'Расчет ФОТ'!V13</f>
        <v>7110721.8887712006</v>
      </c>
    </row>
    <row r="37" spans="2:9" x14ac:dyDescent="0.25">
      <c r="B37" s="178" t="str">
        <f>'Расчет ФОТ'!B14</f>
        <v>Оператор поломоечной машины</v>
      </c>
      <c r="C37" s="255">
        <f>'Расчет ФОТ'!C14</f>
        <v>3</v>
      </c>
      <c r="D37" s="255">
        <f>'Расчет ФОТ'!I14</f>
        <v>9360</v>
      </c>
      <c r="E37" s="255">
        <f>'Расчет ФОТ'!J14</f>
        <v>75000</v>
      </c>
      <c r="F37" s="255">
        <f>'Расчет ФОТ'!K14</f>
        <v>2884.6153846153848</v>
      </c>
      <c r="G37" s="255">
        <f>'Расчет ФОТ'!L14</f>
        <v>288.46153846153845</v>
      </c>
      <c r="H37" s="255">
        <f>'Расчет ФОТ'!V14-'Расчет ФОТ'!N14</f>
        <v>1871178.3570671994</v>
      </c>
      <c r="I37" s="258">
        <f>'Расчет ФОТ'!V14</f>
        <v>4571178.3570671994</v>
      </c>
    </row>
    <row r="38" spans="2:9" x14ac:dyDescent="0.25">
      <c r="B38" s="178">
        <f>'Расчет ФОТ'!B15</f>
        <v>0</v>
      </c>
      <c r="C38" s="255">
        <f>'Расчет ФОТ'!C15</f>
        <v>0</v>
      </c>
      <c r="D38" s="255">
        <f>'Расчет ФОТ'!I15</f>
        <v>0</v>
      </c>
      <c r="E38" s="255">
        <f>'Расчет ФОТ'!J15</f>
        <v>0</v>
      </c>
      <c r="F38" s="255">
        <f>'Расчет ФОТ'!K15</f>
        <v>0</v>
      </c>
      <c r="G38" s="255">
        <f>'Расчет ФОТ'!L15</f>
        <v>0</v>
      </c>
      <c r="H38" s="255">
        <f>'Расчет ФОТ'!V15-'Расчет ФОТ'!N15</f>
        <v>0</v>
      </c>
      <c r="I38" s="258">
        <f>'Расчет ФОТ'!V15</f>
        <v>0</v>
      </c>
    </row>
    <row r="39" spans="2:9" x14ac:dyDescent="0.25">
      <c r="B39" s="178" t="str">
        <f>'Расчет ФОТ'!B16</f>
        <v>Тележечник</v>
      </c>
      <c r="C39" s="255">
        <f>'Расчет ФОТ'!C16</f>
        <v>1</v>
      </c>
      <c r="D39" s="255">
        <f>'Расчет ФОТ'!I16</f>
        <v>3120</v>
      </c>
      <c r="E39" s="255">
        <f>'Расчет ФОТ'!J16</f>
        <v>75000</v>
      </c>
      <c r="F39" s="255">
        <f>'Расчет ФОТ'!K16</f>
        <v>2884.6153846153848</v>
      </c>
      <c r="G39" s="255">
        <f>'Расчет ФОТ'!L16</f>
        <v>288.46153846153845</v>
      </c>
      <c r="H39" s="255">
        <f>'Расчет ФОТ'!V16-'Расчет ФОТ'!N16</f>
        <v>623726.11902239989</v>
      </c>
      <c r="I39" s="258">
        <f>'Расчет ФОТ'!V16</f>
        <v>1523726.1190223999</v>
      </c>
    </row>
    <row r="40" spans="2:9" x14ac:dyDescent="0.25">
      <c r="B40" s="178">
        <f>'Расчет ФОТ'!B17</f>
        <v>0</v>
      </c>
      <c r="C40" s="255">
        <f>'Расчет ФОТ'!C17</f>
        <v>0</v>
      </c>
      <c r="D40" s="255">
        <f>'Расчет ФОТ'!I17</f>
        <v>0</v>
      </c>
      <c r="E40" s="255">
        <f>'Расчет ФОТ'!J17</f>
        <v>0</v>
      </c>
      <c r="F40" s="255">
        <f>'Расчет ФОТ'!K17</f>
        <v>0</v>
      </c>
      <c r="G40" s="255">
        <f>'Расчет ФОТ'!L17</f>
        <v>0</v>
      </c>
      <c r="H40" s="255">
        <f>'Расчет ФОТ'!V17-'Расчет ФОТ'!N17</f>
        <v>0</v>
      </c>
      <c r="I40" s="258">
        <f>'Расчет ФОТ'!V17</f>
        <v>0</v>
      </c>
    </row>
    <row r="41" spans="2:9" x14ac:dyDescent="0.25">
      <c r="B41" s="178" t="str">
        <f>'Расчет ФОТ'!B18</f>
        <v>Оператор внешней уборки</v>
      </c>
      <c r="C41" s="255">
        <f>'Расчет ФОТ'!C18</f>
        <v>2</v>
      </c>
      <c r="D41" s="255">
        <f>'Расчет ФОТ'!I18</f>
        <v>6240</v>
      </c>
      <c r="E41" s="255">
        <f>'Расчет ФОТ'!J18</f>
        <v>70000</v>
      </c>
      <c r="F41" s="255">
        <f>'Расчет ФОТ'!K18</f>
        <v>2692.3076923076924</v>
      </c>
      <c r="G41" s="255">
        <f>'Расчет ФОТ'!L18</f>
        <v>269.23076923076923</v>
      </c>
      <c r="H41" s="255">
        <f>'Расчет ФОТ'!V18-'Расчет ФОТ'!N18</f>
        <v>1164288.7555084801</v>
      </c>
      <c r="I41" s="258">
        <f>'Расчет ФОТ'!V18</f>
        <v>2844288.7555084801</v>
      </c>
    </row>
    <row r="42" spans="2:9" x14ac:dyDescent="0.25">
      <c r="B42" s="178">
        <f>'Расчет ФОТ'!B19</f>
        <v>0</v>
      </c>
      <c r="C42" s="255">
        <f>'Расчет ФОТ'!C19</f>
        <v>0</v>
      </c>
      <c r="D42" s="255">
        <f>'Расчет ФОТ'!I19</f>
        <v>0</v>
      </c>
      <c r="E42" s="255">
        <f>'Расчет ФОТ'!J19</f>
        <v>0</v>
      </c>
      <c r="F42" s="255">
        <f>'Расчет ФОТ'!K19</f>
        <v>0</v>
      </c>
      <c r="G42" s="255">
        <f>'Расчет ФОТ'!L19</f>
        <v>0</v>
      </c>
      <c r="H42" s="255">
        <f>'Расчет ФОТ'!V19-'Расчет ФОТ'!N19</f>
        <v>0</v>
      </c>
      <c r="I42" s="258">
        <f>'Расчет ФОТ'!V19</f>
        <v>0</v>
      </c>
    </row>
    <row r="43" spans="2:9" x14ac:dyDescent="0.25">
      <c r="B43" s="178" t="str">
        <f>'Расчет ФОТ'!B20</f>
        <v>Тракторист</v>
      </c>
      <c r="C43" s="255">
        <f>'Расчет ФОТ'!C20</f>
        <v>1</v>
      </c>
      <c r="D43" s="255">
        <f>'Расчет ФОТ'!I20</f>
        <v>1300</v>
      </c>
      <c r="E43" s="255">
        <f>'Расчет ФОТ'!J20</f>
        <v>90000</v>
      </c>
      <c r="F43" s="255">
        <f>'Расчет ФОТ'!K20</f>
        <v>3461.5384615384614</v>
      </c>
      <c r="G43" s="255">
        <f>'Расчет ФОТ'!L20</f>
        <v>346.15384615384613</v>
      </c>
      <c r="H43" s="255">
        <f>'Расчет ФОТ'!V20-'Расчет ФОТ'!N20</f>
        <v>311863.05951119994</v>
      </c>
      <c r="I43" s="258">
        <f>'Расчет ФОТ'!V20</f>
        <v>761863.05951119994</v>
      </c>
    </row>
    <row r="44" spans="2:9" x14ac:dyDescent="0.25">
      <c r="B44" s="178">
        <f>'Расчет ФОТ'!B21</f>
        <v>0</v>
      </c>
      <c r="C44" s="255">
        <f>'Расчет ФОТ'!C21</f>
        <v>0</v>
      </c>
      <c r="D44" s="255">
        <f>'Расчет ФОТ'!I21</f>
        <v>0</v>
      </c>
      <c r="E44" s="255">
        <f>'Расчет ФОТ'!J21</f>
        <v>0</v>
      </c>
      <c r="F44" s="255">
        <f>'Расчет ФОТ'!K21</f>
        <v>0</v>
      </c>
      <c r="G44" s="255">
        <f>'Расчет ФОТ'!L21</f>
        <v>0</v>
      </c>
      <c r="H44" s="255">
        <f>'Расчет ФОТ'!V21-'Расчет ФОТ'!N21</f>
        <v>0</v>
      </c>
      <c r="I44" s="258">
        <f>'Расчет ФОТ'!V21</f>
        <v>0</v>
      </c>
    </row>
    <row r="45" spans="2:9" x14ac:dyDescent="0.25">
      <c r="B45" s="178">
        <f>'Расчет ФОТ'!B22</f>
        <v>0</v>
      </c>
      <c r="C45" s="255">
        <f>'Расчет ФОТ'!C22</f>
        <v>0</v>
      </c>
      <c r="D45" s="255">
        <f>'Расчет ФОТ'!I22</f>
        <v>0</v>
      </c>
      <c r="E45" s="255">
        <f>'Расчет ФОТ'!J22</f>
        <v>0</v>
      </c>
      <c r="F45" s="255">
        <f>'Расчет ФОТ'!K22</f>
        <v>0</v>
      </c>
      <c r="G45" s="255">
        <f>'Расчет ФОТ'!L22</f>
        <v>0</v>
      </c>
      <c r="H45" s="255">
        <f>'Расчет ФОТ'!V22-'Расчет ФОТ'!N22</f>
        <v>0</v>
      </c>
      <c r="I45" s="258">
        <f>'Расчет ФОТ'!V22</f>
        <v>0</v>
      </c>
    </row>
    <row r="46" spans="2:9" x14ac:dyDescent="0.25">
      <c r="B46" s="178">
        <f>'Расчет ФОТ'!B23</f>
        <v>0</v>
      </c>
      <c r="C46" s="255">
        <f>'Расчет ФОТ'!C23</f>
        <v>0</v>
      </c>
      <c r="D46" s="255">
        <f>'Расчет ФОТ'!I23</f>
        <v>0</v>
      </c>
      <c r="E46" s="255">
        <f>'Расчет ФОТ'!J23</f>
        <v>0</v>
      </c>
      <c r="F46" s="255">
        <f>'Расчет ФОТ'!K23</f>
        <v>0</v>
      </c>
      <c r="G46" s="255">
        <f>'Расчет ФОТ'!L23</f>
        <v>0</v>
      </c>
      <c r="H46" s="255">
        <f>'Расчет ФОТ'!V23-'Расчет ФОТ'!N23</f>
        <v>0</v>
      </c>
      <c r="I46" s="258">
        <f>'Расчет ФОТ'!V23</f>
        <v>0</v>
      </c>
    </row>
    <row r="47" spans="2:9" x14ac:dyDescent="0.25">
      <c r="B47" s="178">
        <f>'Расчет ФОТ'!B24</f>
        <v>0</v>
      </c>
      <c r="C47" s="255">
        <f>'Расчет ФОТ'!C24</f>
        <v>0</v>
      </c>
      <c r="D47" s="255">
        <f>'Расчет ФОТ'!I24</f>
        <v>0</v>
      </c>
      <c r="E47" s="255">
        <f>'Расчет ФОТ'!J24</f>
        <v>0</v>
      </c>
      <c r="F47" s="255">
        <f>'Расчет ФОТ'!K24</f>
        <v>0</v>
      </c>
      <c r="G47" s="255">
        <f>'Расчет ФОТ'!L24</f>
        <v>0</v>
      </c>
      <c r="H47" s="255">
        <f>'Расчет ФОТ'!V24-'Расчет ФОТ'!N24</f>
        <v>0</v>
      </c>
      <c r="I47" s="258">
        <f>'Расчет ФОТ'!V24</f>
        <v>0</v>
      </c>
    </row>
    <row r="48" spans="2:9" x14ac:dyDescent="0.25">
      <c r="B48" s="178">
        <f>'Расчет ФОТ'!B25</f>
        <v>0</v>
      </c>
      <c r="C48" s="255">
        <f>'Расчет ФОТ'!C25</f>
        <v>0</v>
      </c>
      <c r="D48" s="255">
        <f>'Расчет ФОТ'!I25</f>
        <v>0</v>
      </c>
      <c r="E48" s="255">
        <f>'Расчет ФОТ'!J25</f>
        <v>0</v>
      </c>
      <c r="F48" s="255">
        <f>'Расчет ФОТ'!K25</f>
        <v>0</v>
      </c>
      <c r="G48" s="255">
        <f>'Расчет ФОТ'!L25</f>
        <v>0</v>
      </c>
      <c r="H48" s="255">
        <f>'Расчет ФОТ'!V25-'Расчет ФОТ'!N25</f>
        <v>0</v>
      </c>
      <c r="I48" s="258">
        <f>'Расчет ФОТ'!V25</f>
        <v>0</v>
      </c>
    </row>
    <row r="49" spans="2:9" x14ac:dyDescent="0.25">
      <c r="B49" s="178">
        <f>'Расчет ФОТ'!B26</f>
        <v>0</v>
      </c>
      <c r="C49" s="255">
        <f>'Расчет ФОТ'!C26</f>
        <v>0</v>
      </c>
      <c r="D49" s="255">
        <f>'Расчет ФОТ'!I26</f>
        <v>0</v>
      </c>
      <c r="E49" s="255">
        <f>'Расчет ФОТ'!J26</f>
        <v>0</v>
      </c>
      <c r="F49" s="255">
        <f>'Расчет ФОТ'!K26</f>
        <v>0</v>
      </c>
      <c r="G49" s="255">
        <f>'Расчет ФОТ'!L26</f>
        <v>0</v>
      </c>
      <c r="H49" s="255">
        <f>'Расчет ФОТ'!V26-'Расчет ФОТ'!N26</f>
        <v>0</v>
      </c>
      <c r="I49" s="258">
        <f>'Расчет ФОТ'!V26</f>
        <v>0</v>
      </c>
    </row>
    <row r="50" spans="2:9" x14ac:dyDescent="0.25">
      <c r="B50" s="178">
        <f>'Расчет ФОТ'!B27</f>
        <v>0</v>
      </c>
      <c r="C50" s="255">
        <f>'Расчет ФОТ'!C27</f>
        <v>0</v>
      </c>
      <c r="D50" s="255">
        <f>'Расчет ФОТ'!I27</f>
        <v>0</v>
      </c>
      <c r="E50" s="255">
        <f>'Расчет ФОТ'!J27</f>
        <v>0</v>
      </c>
      <c r="F50" s="255">
        <f>'Расчет ФОТ'!K27</f>
        <v>0</v>
      </c>
      <c r="G50" s="255">
        <f>'Расчет ФОТ'!L27</f>
        <v>0</v>
      </c>
      <c r="H50" s="255">
        <f>'Расчет ФОТ'!V27-'Расчет ФОТ'!N27</f>
        <v>0</v>
      </c>
      <c r="I50" s="258">
        <f>'Расчет ФОТ'!V27</f>
        <v>0</v>
      </c>
    </row>
    <row r="51" spans="2:9" x14ac:dyDescent="0.25">
      <c r="B51" s="178">
        <f>'Расчет ФОТ'!B28</f>
        <v>0</v>
      </c>
      <c r="C51" s="255">
        <f>'Расчет ФОТ'!C28</f>
        <v>0</v>
      </c>
      <c r="D51" s="255">
        <f>'Расчет ФОТ'!I28</f>
        <v>0</v>
      </c>
      <c r="E51" s="255">
        <f>'Расчет ФОТ'!J28</f>
        <v>0</v>
      </c>
      <c r="F51" s="255">
        <f>'Расчет ФОТ'!K28</f>
        <v>0</v>
      </c>
      <c r="G51" s="255">
        <f>'Расчет ФОТ'!L28</f>
        <v>0</v>
      </c>
      <c r="H51" s="255">
        <f>'Расчет ФОТ'!V28-'Расчет ФОТ'!N28</f>
        <v>0</v>
      </c>
      <c r="I51" s="258">
        <f>'Расчет ФОТ'!V28</f>
        <v>0</v>
      </c>
    </row>
    <row r="52" spans="2:9" x14ac:dyDescent="0.25">
      <c r="B52" s="178">
        <f>'Расчет ФОТ'!B29</f>
        <v>0</v>
      </c>
      <c r="C52" s="255">
        <f>'Расчет ФОТ'!C29</f>
        <v>0</v>
      </c>
      <c r="D52" s="255">
        <f>'Расчет ФОТ'!I29</f>
        <v>0</v>
      </c>
      <c r="E52" s="255">
        <f>'Расчет ФОТ'!J29</f>
        <v>0</v>
      </c>
      <c r="F52" s="255">
        <f>'Расчет ФОТ'!K29</f>
        <v>0</v>
      </c>
      <c r="G52" s="255">
        <f>'Расчет ФОТ'!L29</f>
        <v>0</v>
      </c>
      <c r="H52" s="255">
        <f>'Расчет ФОТ'!V29-'Расчет ФОТ'!N29</f>
        <v>0</v>
      </c>
      <c r="I52" s="258">
        <f>'Расчет ФОТ'!V29</f>
        <v>0</v>
      </c>
    </row>
    <row r="53" spans="2:9" x14ac:dyDescent="0.25">
      <c r="B53" s="178">
        <f>'Расчет ФОТ'!B30</f>
        <v>0</v>
      </c>
      <c r="C53" s="255">
        <f>'Расчет ФОТ'!C30</f>
        <v>0</v>
      </c>
      <c r="D53" s="255">
        <f>'Расчет ФОТ'!I30</f>
        <v>0</v>
      </c>
      <c r="E53" s="255">
        <f>'Расчет ФОТ'!J30</f>
        <v>0</v>
      </c>
      <c r="F53" s="255">
        <f>'Расчет ФОТ'!K30</f>
        <v>0</v>
      </c>
      <c r="G53" s="255">
        <f>'Расчет ФОТ'!L30</f>
        <v>0</v>
      </c>
      <c r="H53" s="255">
        <f>'Расчет ФОТ'!V30-'Расчет ФОТ'!N30</f>
        <v>0</v>
      </c>
      <c r="I53" s="258">
        <f>'Расчет ФОТ'!V30</f>
        <v>0</v>
      </c>
    </row>
    <row r="54" spans="2:9" x14ac:dyDescent="0.25">
      <c r="B54" s="178">
        <f>'Расчет ФОТ'!B31</f>
        <v>0</v>
      </c>
      <c r="C54" s="255">
        <f>'Расчет ФОТ'!C31</f>
        <v>0</v>
      </c>
      <c r="D54" s="255">
        <f>'Расчет ФОТ'!I31</f>
        <v>0</v>
      </c>
      <c r="E54" s="255">
        <f>'Расчет ФОТ'!J31</f>
        <v>0</v>
      </c>
      <c r="F54" s="255">
        <f>'Расчет ФОТ'!K31</f>
        <v>0</v>
      </c>
      <c r="G54" s="255">
        <f>'Расчет ФОТ'!L31</f>
        <v>0</v>
      </c>
      <c r="H54" s="255">
        <f>'Расчет ФОТ'!V31-'Расчет ФОТ'!N31</f>
        <v>0</v>
      </c>
      <c r="I54" s="258">
        <f>'Расчет ФОТ'!V31</f>
        <v>0</v>
      </c>
    </row>
    <row r="55" spans="2:9" x14ac:dyDescent="0.25">
      <c r="B55" s="178">
        <f>'Расчет ФОТ'!B32</f>
        <v>0</v>
      </c>
      <c r="C55" s="255">
        <f>'Расчет ФОТ'!C32</f>
        <v>0</v>
      </c>
      <c r="D55" s="255">
        <f>'Расчет ФОТ'!I32</f>
        <v>0</v>
      </c>
      <c r="E55" s="255">
        <f>'Расчет ФОТ'!J32</f>
        <v>0</v>
      </c>
      <c r="F55" s="255">
        <f>'Расчет ФОТ'!K32</f>
        <v>0</v>
      </c>
      <c r="G55" s="255">
        <f>'Расчет ФОТ'!L32</f>
        <v>0</v>
      </c>
      <c r="H55" s="255">
        <f>'Расчет ФОТ'!V32-'Расчет ФОТ'!N32</f>
        <v>0</v>
      </c>
      <c r="I55" s="258">
        <f>'Расчет ФОТ'!V32</f>
        <v>0</v>
      </c>
    </row>
    <row r="56" spans="2:9" x14ac:dyDescent="0.25">
      <c r="B56" s="178">
        <f>'Расчет ФОТ'!B33</f>
        <v>0</v>
      </c>
      <c r="C56" s="255">
        <f>'Расчет ФОТ'!C33</f>
        <v>0</v>
      </c>
      <c r="D56" s="255">
        <f>'Расчет ФОТ'!I33</f>
        <v>0</v>
      </c>
      <c r="E56" s="255">
        <f>'Расчет ФОТ'!J33</f>
        <v>0</v>
      </c>
      <c r="F56" s="255">
        <f>'Расчет ФОТ'!K33</f>
        <v>0</v>
      </c>
      <c r="G56" s="255">
        <f>'Расчет ФОТ'!L33</f>
        <v>0</v>
      </c>
      <c r="H56" s="255">
        <f>'Расчет ФОТ'!V33-'Расчет ФОТ'!N33</f>
        <v>0</v>
      </c>
      <c r="I56" s="258">
        <f>'Расчет ФОТ'!V33</f>
        <v>0</v>
      </c>
    </row>
    <row r="57" spans="2:9" x14ac:dyDescent="0.25">
      <c r="B57" s="178">
        <f>'Расчет ФОТ'!B34</f>
        <v>0</v>
      </c>
      <c r="C57" s="255">
        <f>'Расчет ФОТ'!C34</f>
        <v>0</v>
      </c>
      <c r="D57" s="255">
        <f>'Расчет ФОТ'!I34</f>
        <v>0</v>
      </c>
      <c r="E57" s="255">
        <f>'Расчет ФОТ'!J34</f>
        <v>0</v>
      </c>
      <c r="F57" s="255">
        <f>'Расчет ФОТ'!K34</f>
        <v>0</v>
      </c>
      <c r="G57" s="255">
        <f>'Расчет ФОТ'!L34</f>
        <v>0</v>
      </c>
      <c r="H57" s="255">
        <f>'Расчет ФОТ'!V34-'Расчет ФОТ'!N34</f>
        <v>0</v>
      </c>
      <c r="I57" s="258">
        <f>'Расчет ФОТ'!V34</f>
        <v>0</v>
      </c>
    </row>
    <row r="58" spans="2:9" x14ac:dyDescent="0.25">
      <c r="B58" s="178">
        <f>'Расчет ФОТ'!B35</f>
        <v>0</v>
      </c>
      <c r="C58" s="255">
        <f>'Расчет ФОТ'!C35</f>
        <v>0</v>
      </c>
      <c r="D58" s="255">
        <f>'Расчет ФОТ'!I35</f>
        <v>0</v>
      </c>
      <c r="E58" s="255">
        <f>'Расчет ФОТ'!J35</f>
        <v>0</v>
      </c>
      <c r="F58" s="255">
        <f>'Расчет ФОТ'!K35</f>
        <v>0</v>
      </c>
      <c r="G58" s="255">
        <f>'Расчет ФОТ'!L35</f>
        <v>0</v>
      </c>
      <c r="H58" s="255">
        <f>'Расчет ФОТ'!V35-'Расчет ФОТ'!N35</f>
        <v>0</v>
      </c>
      <c r="I58" s="258">
        <f>'Расчет ФОТ'!V35</f>
        <v>0</v>
      </c>
    </row>
    <row r="59" spans="2:9" x14ac:dyDescent="0.25">
      <c r="B59" s="178">
        <f>'Расчет ФОТ'!B36</f>
        <v>0</v>
      </c>
      <c r="C59" s="255">
        <f>'Расчет ФОТ'!C36</f>
        <v>0</v>
      </c>
      <c r="D59" s="255">
        <f>'Расчет ФОТ'!I36</f>
        <v>0</v>
      </c>
      <c r="E59" s="255">
        <f>'Расчет ФОТ'!J36</f>
        <v>0</v>
      </c>
      <c r="F59" s="255">
        <f>'Расчет ФОТ'!K36</f>
        <v>0</v>
      </c>
      <c r="G59" s="255">
        <f>'Расчет ФОТ'!L36</f>
        <v>0</v>
      </c>
      <c r="H59" s="255">
        <f>'Расчет ФОТ'!V36-'Расчет ФОТ'!N36</f>
        <v>0</v>
      </c>
      <c r="I59" s="258">
        <f>'Расчет ФОТ'!V36</f>
        <v>0</v>
      </c>
    </row>
    <row r="60" spans="2:9" x14ac:dyDescent="0.25">
      <c r="B60" s="178">
        <f>'Расчет ФОТ'!B37</f>
        <v>0</v>
      </c>
      <c r="C60" s="255">
        <f>'Расчет ФОТ'!C37</f>
        <v>0</v>
      </c>
      <c r="D60" s="255">
        <f>'Расчет ФОТ'!I37</f>
        <v>0</v>
      </c>
      <c r="E60" s="255">
        <f>'Расчет ФОТ'!J37</f>
        <v>0</v>
      </c>
      <c r="F60" s="255">
        <f>'Расчет ФОТ'!K37</f>
        <v>0</v>
      </c>
      <c r="G60" s="255">
        <f>'Расчет ФОТ'!L37</f>
        <v>0</v>
      </c>
      <c r="H60" s="255">
        <f>'Расчет ФОТ'!V37-'Расчет ФОТ'!N37</f>
        <v>0</v>
      </c>
      <c r="I60" s="258">
        <f>'Расчет ФОТ'!V37</f>
        <v>0</v>
      </c>
    </row>
    <row r="61" spans="2:9" x14ac:dyDescent="0.25">
      <c r="B61" s="178">
        <f>'Расчет ФОТ'!B38</f>
        <v>0</v>
      </c>
      <c r="C61" s="255">
        <f>'Расчет ФОТ'!C38</f>
        <v>0</v>
      </c>
      <c r="D61" s="255">
        <f>'Расчет ФОТ'!I38</f>
        <v>0</v>
      </c>
      <c r="E61" s="255">
        <f>'Расчет ФОТ'!J38</f>
        <v>0</v>
      </c>
      <c r="F61" s="255">
        <f>'Расчет ФОТ'!K38</f>
        <v>0</v>
      </c>
      <c r="G61" s="255">
        <f>'Расчет ФОТ'!L38</f>
        <v>0</v>
      </c>
      <c r="H61" s="255">
        <f>'Расчет ФОТ'!V38-'Расчет ФОТ'!N38</f>
        <v>0</v>
      </c>
      <c r="I61" s="258">
        <f>'Расчет ФОТ'!V38</f>
        <v>0</v>
      </c>
    </row>
    <row r="62" spans="2:9" x14ac:dyDescent="0.25">
      <c r="B62" s="178">
        <f>'Расчет ФОТ'!B39</f>
        <v>0</v>
      </c>
      <c r="C62" s="255">
        <f>'Расчет ФОТ'!C39</f>
        <v>0</v>
      </c>
      <c r="D62" s="255">
        <f>'Расчет ФОТ'!I39</f>
        <v>0</v>
      </c>
      <c r="E62" s="255">
        <f>'Расчет ФОТ'!J39</f>
        <v>0</v>
      </c>
      <c r="F62" s="255">
        <f>'Расчет ФОТ'!K39</f>
        <v>0</v>
      </c>
      <c r="G62" s="255">
        <f>'Расчет ФОТ'!L39</f>
        <v>0</v>
      </c>
      <c r="H62" s="255">
        <f>'Расчет ФОТ'!V39-'Расчет ФОТ'!N39</f>
        <v>0</v>
      </c>
      <c r="I62" s="258">
        <f>'Расчет ФОТ'!V39</f>
        <v>0</v>
      </c>
    </row>
    <row r="63" spans="2:9" x14ac:dyDescent="0.25">
      <c r="B63" s="178">
        <f>'Расчет ФОТ'!B40</f>
        <v>0</v>
      </c>
      <c r="C63" s="255">
        <f>'Расчет ФОТ'!C40</f>
        <v>0</v>
      </c>
      <c r="D63" s="255">
        <f>'Расчет ФОТ'!I40</f>
        <v>0</v>
      </c>
      <c r="E63" s="255">
        <f>'Расчет ФОТ'!J40</f>
        <v>0</v>
      </c>
      <c r="F63" s="255">
        <f>'Расчет ФОТ'!K40</f>
        <v>0</v>
      </c>
      <c r="G63" s="255">
        <f>'Расчет ФОТ'!L40</f>
        <v>0</v>
      </c>
      <c r="H63" s="255">
        <f>'Расчет ФОТ'!V40-'Расчет ФОТ'!N40</f>
        <v>0</v>
      </c>
      <c r="I63" s="258">
        <f>'Расчет ФОТ'!V40</f>
        <v>0</v>
      </c>
    </row>
    <row r="64" spans="2:9" x14ac:dyDescent="0.25">
      <c r="B64" s="178">
        <f>'Расчет ФОТ'!B41</f>
        <v>0</v>
      </c>
      <c r="C64" s="255">
        <f>'Расчет ФОТ'!C41</f>
        <v>0</v>
      </c>
      <c r="D64" s="255">
        <f>'Расчет ФОТ'!I41</f>
        <v>0</v>
      </c>
      <c r="E64" s="255">
        <f>'Расчет ФОТ'!J41</f>
        <v>0</v>
      </c>
      <c r="F64" s="255">
        <f>'Расчет ФОТ'!K41</f>
        <v>0</v>
      </c>
      <c r="G64" s="255">
        <f>'Расчет ФОТ'!L41</f>
        <v>0</v>
      </c>
      <c r="H64" s="255">
        <f>'Расчет ФОТ'!V41-'Расчет ФОТ'!N41</f>
        <v>0</v>
      </c>
      <c r="I64" s="258">
        <f>'Расчет ФОТ'!V41</f>
        <v>0</v>
      </c>
    </row>
    <row r="65" spans="2:9" x14ac:dyDescent="0.25">
      <c r="B65" s="178">
        <f>'Расчет ФОТ'!B42</f>
        <v>0</v>
      </c>
      <c r="C65" s="255">
        <f>'Расчет ФОТ'!C42</f>
        <v>0</v>
      </c>
      <c r="D65" s="255">
        <f>'Расчет ФОТ'!I42</f>
        <v>0</v>
      </c>
      <c r="E65" s="255">
        <f>'Расчет ФОТ'!J42</f>
        <v>0</v>
      </c>
      <c r="F65" s="255">
        <f>'Расчет ФОТ'!K42</f>
        <v>0</v>
      </c>
      <c r="G65" s="255">
        <f>'Расчет ФОТ'!L42</f>
        <v>0</v>
      </c>
      <c r="H65" s="255">
        <f>'Расчет ФОТ'!V42-'Расчет ФОТ'!N42</f>
        <v>0</v>
      </c>
      <c r="I65" s="258">
        <f>'Расчет ФОТ'!V42</f>
        <v>0</v>
      </c>
    </row>
    <row r="66" spans="2:9" ht="15.75" thickBot="1" x14ac:dyDescent="0.3">
      <c r="B66" s="179">
        <f>'Расчет ФОТ'!B43</f>
        <v>0</v>
      </c>
      <c r="C66" s="259">
        <f>'Расчет ФОТ'!C43</f>
        <v>0</v>
      </c>
      <c r="D66" s="259">
        <f>'Расчет ФОТ'!I43</f>
        <v>0</v>
      </c>
      <c r="E66" s="259">
        <f>'Расчет ФОТ'!J43</f>
        <v>0</v>
      </c>
      <c r="F66" s="259">
        <f>'Расчет ФОТ'!K43</f>
        <v>0</v>
      </c>
      <c r="G66" s="259">
        <f>'Расчет ФОТ'!L43</f>
        <v>0</v>
      </c>
      <c r="H66" s="259">
        <f>'Расчет ФОТ'!V43-'Расчет ФОТ'!N43</f>
        <v>0</v>
      </c>
      <c r="I66" s="260">
        <f>'Расчет ФОТ'!V43</f>
        <v>0</v>
      </c>
    </row>
    <row r="67" spans="2:9" x14ac:dyDescent="0.25">
      <c r="B67" s="169"/>
      <c r="C67" s="162"/>
      <c r="D67" s="162"/>
      <c r="E67" s="162"/>
      <c r="H67" s="256"/>
    </row>
  </sheetData>
  <sheetProtection algorithmName="SHA-512" hashValue="wOds3qfHs529cLwb0LiiHPHroFfC7RHsKNjnk9/cMLfbuwDovYgRX/L2Mqu601cmVFePE55Qk15Bd0RuAiY4/Q==" saltValue="Ke9MUJ//Z1H/ITj1gtUDMA==" spinCount="100000" sheet="1" objects="1" scenarios="1"/>
  <mergeCells count="9">
    <mergeCell ref="B30:D30"/>
    <mergeCell ref="E30:G30"/>
    <mergeCell ref="H30:H31"/>
    <mergeCell ref="I30:I31"/>
    <mergeCell ref="B2:D2"/>
    <mergeCell ref="E2:I2"/>
    <mergeCell ref="B3:D3"/>
    <mergeCell ref="E3:I3"/>
    <mergeCell ref="B25:D26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Правила и справки</vt:lpstr>
      <vt:lpstr>Статистическая ЗП</vt:lpstr>
      <vt:lpstr>Калькуляция</vt:lpstr>
      <vt:lpstr>Расчет ФОТ</vt:lpstr>
      <vt:lpstr>Приложение к договору</vt:lpstr>
      <vt:lpstr>Калькуляция!Область_печати</vt:lpstr>
      <vt:lpstr>Калькуляция!сумм_аммортиз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2026-02-25T08:37:28Z</dcterms:modified>
</cp:coreProperties>
</file>